
<file path=[Content_Types].xml><?xml version="1.0" encoding="utf-8"?>
<Types xmlns="http://schemas.openxmlformats.org/package/2006/content-types">
  <Override PartName="/xl/calcChain.xml" ContentType="application/vnd.openxmlformats-officedocument.spreadsheetml.calcChain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docProps/core.xml" ContentType="application/vnd.openxmlformats-package.core-properties+xml"/>
  <Default Extension="xml" ContentType="application/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rels" ContentType="application/vnd.openxmlformats-package.relationships+xml"/>
  <Override PartName="/xl/drawings/drawing3.xml" ContentType="application/vnd.openxmlformats-officedocument.drawing+xml"/>
  <Override PartName="/xl/externalLinks/externalLink2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1.xml" ContentType="application/vnd.openxmlformats-officedocument.drawing+xml"/>
  <Override PartName="/xl/externalLinks/externalLink4.xml" ContentType="application/vnd.openxmlformats-officedocument.spreadsheetml.externalLink+xml"/>
  <Default Extension="jpeg" ContentType="image/jpeg"/>
  <Override PartName="/xl/drawings/drawing2.xml" ContentType="application/vnd.openxmlformats-officedocument.drawing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Default Extension="png" ContentType="image/png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autoCompressPictures="0"/>
  <bookViews>
    <workbookView xWindow="1700" yWindow="420" windowWidth="24800" windowHeight="17000" tabRatio="711"/>
  </bookViews>
  <sheets>
    <sheet name="IRR input" sheetId="3" r:id="rId1"/>
    <sheet name="IRR calc" sheetId="1" r:id="rId2"/>
    <sheet name="lending rate" sheetId="1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_123Graph_D" hidden="1">[1]PkRp!#REF!</definedName>
    <definedName name="_Fill" hidden="1">#REF!</definedName>
    <definedName name="_Key1" hidden="1">[2]L_23!#REF!</definedName>
    <definedName name="_Order1" hidden="1">0</definedName>
    <definedName name="_Regression_Int">1</definedName>
    <definedName name="_s" hidden="1">{#N/A,#N/A,FALSE,"M.43"}</definedName>
    <definedName name="_Sort" hidden="1">[3]UshDeb00!#REF!</definedName>
    <definedName name="_z" hidden="1">{#N/A,#N/A,FALSE,"M.01"}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O">#REF!</definedName>
    <definedName name="a">#REF!</definedName>
    <definedName name="aa" hidden="1">{#N/A,#N/A,FALSE,"M.42"}</definedName>
    <definedName name="AkBali">#REF!</definedName>
    <definedName name="AkBandarLampung">#REF!</definedName>
    <definedName name="AkBengkulu">#REF!</definedName>
    <definedName name="AkBukitAsam">#REF!</definedName>
    <definedName name="AkBukittinggi">#REF!</definedName>
    <definedName name="AkKamojang">#REF!</definedName>
    <definedName name="AkKeramasan">#REF!</definedName>
    <definedName name="AkMrica">#REF!</definedName>
    <definedName name="AkOmbilin">#REF!</definedName>
    <definedName name="AkPerak">#REF!</definedName>
    <definedName name="AkPriok">#REF!</definedName>
    <definedName name="AkSaguling">#REF!</definedName>
    <definedName name="AkSemarang">#REF!</definedName>
    <definedName name="AkSuralaya">#REF!</definedName>
    <definedName name="AkTotal">#REF!</definedName>
    <definedName name="AkumATFungsi">#REF!</definedName>
    <definedName name="AkumATJenis">#REF!</definedName>
    <definedName name="ATFungsi">#REF!</definedName>
    <definedName name="ATJenis">#REF!</definedName>
    <definedName name="b">#REF!</definedName>
    <definedName name="BandarLampung">#REF!</definedName>
    <definedName name="Bengkulu">#REF!</definedName>
    <definedName name="BiInvest">#REF!</definedName>
    <definedName name="BukitAsam">#REF!</definedName>
    <definedName name="Bukittinggi">#REF!</definedName>
    <definedName name="BukuBesar">#REF!</definedName>
    <definedName name="Bust">#N/A</definedName>
    <definedName name="c_">#REF!</definedName>
    <definedName name="Continue">#N/A</definedName>
    <definedName name="csDesignMode">1</definedName>
    <definedName name="currency">'IRR input'!$D$9</definedName>
    <definedName name="d">#REF!</definedName>
    <definedName name="DaBali">#REF!</definedName>
    <definedName name="DaBandarLampung">#REF!</definedName>
    <definedName name="DaBengkulu">#REF!</definedName>
    <definedName name="DaBukitAsam">#REF!</definedName>
    <definedName name="DaBukittinggi">#REF!</definedName>
    <definedName name="DaKamojang">#REF!</definedName>
    <definedName name="DaKeramasan">#REF!</definedName>
    <definedName name="DaMrica">#REF!</definedName>
    <definedName name="DaOmbilin">#REF!</definedName>
    <definedName name="DaPerak">#REF!</definedName>
    <definedName name="DaPriok">#REF!</definedName>
    <definedName name="DaSaguling">#REF!</definedName>
    <definedName name="DaSemarang">#REF!</definedName>
    <definedName name="DaSuralaya">#REF!</definedName>
    <definedName name="DaTotal">#REF!</definedName>
    <definedName name="Document_array">{"Book1","Kinerja_2005.XLS"}</definedName>
    <definedName name="Documents_array">#N/A</definedName>
    <definedName name="EE" hidden="1">{#N/A,#N/A,FALSE,"M.42"}</definedName>
    <definedName name="h" hidden="1">{#N/A,#N/A,FALSE,"M.31"}</definedName>
    <definedName name="Hello">#N/A</definedName>
    <definedName name="HTML_CodePage" hidden="1">1252</definedName>
    <definedName name="HTML_Control" hidden="1">{"'Sheet1'!$A$1:$H$145"}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nflation">'IRR input'!$D$26</definedName>
    <definedName name="k" hidden="1">{#N/A,#N/A,FALSE,"M.33"}</definedName>
    <definedName name="Keramasan">#REF!</definedName>
    <definedName name="kinerja" hidden="1">{#N/A,#N/A,FALSE,"M.32"}</definedName>
    <definedName name="KontrolBukuBesar">#REF!</definedName>
    <definedName name="KontrolPP">#REF!</definedName>
    <definedName name="KursUSD">[4]Asumsi!$E$10</definedName>
    <definedName name="lamsd" hidden="1">{#N/A,#N/A,FALSE,"M.42"}</definedName>
    <definedName name="LRFungsi">#REF!</definedName>
    <definedName name="LRUnsur">#REF!</definedName>
    <definedName name="mcperiod">#REF!</definedName>
    <definedName name="mj" hidden="1">{#N/A,#N/A,FALSE,"M.42"}</definedName>
    <definedName name="mmc" hidden="1">{#N/A,#N/A,FALSE,"M.42"}</definedName>
    <definedName name="mmd" hidden="1">{#N/A,#N/A,FALSE,"M.32"}</definedName>
    <definedName name="MutasiMatPDP">#REF!</definedName>
    <definedName name="nnm" hidden="1">{#N/A,#N/A,FALSE,"M.43"}</definedName>
    <definedName name="nnnm" hidden="1">{#N/A,#N/A,FALSE,"M.42"}</definedName>
    <definedName name="Ombilin">#REF!</definedName>
    <definedName name="p" hidden="1">{#N/A,#N/A,FALSE,"M.34"}</definedName>
    <definedName name="PBDL">#REF!</definedName>
    <definedName name="PDPKons">#REF!</definedName>
    <definedName name="PDPMaterial">#REF!</definedName>
    <definedName name="PDPPembDimuka">#REF!</definedName>
    <definedName name="period">#REF!</definedName>
    <definedName name="pp" hidden="1">{"'Sheet1'!$A$1:$H$145"}</definedName>
    <definedName name="prediksi_th03" hidden="1">{#N/A,#N/A,FALSE,"M.01";#N/A,#N/A,FALSE,"M.01"}</definedName>
    <definedName name="_xlnm.Print_Area" localSheetId="1">'IRR calc'!#REF!</definedName>
    <definedName name="_xlnm.Print_Area">#REF!</definedName>
    <definedName name="Print_Area_MI">#REF!</definedName>
    <definedName name="Print_Areas">#REF!</definedName>
    <definedName name="ProBali">#REF!</definedName>
    <definedName name="ProKamojang">#REF!</definedName>
    <definedName name="ProMrica">#REF!</definedName>
    <definedName name="ProPerak">#REF!</definedName>
    <definedName name="ProPriok">#REF!</definedName>
    <definedName name="ProSaguling">#REF!</definedName>
    <definedName name="ProSemarang">#REF!</definedName>
    <definedName name="ProSuralaya">#REF!</definedName>
    <definedName name="ProTotal">#REF!</definedName>
    <definedName name="qqq" hidden="1">{#N/A,#N/A,FALSE,"M.42"}</definedName>
    <definedName name="qw" hidden="1">{#N/A,#N/A,FALSE,"M.33"}</definedName>
    <definedName name="sharefirstyear">'IRR input'!#REF!</definedName>
    <definedName name="ss" hidden="1">{#N/A,#N/A,FALSE,"M.43"}</definedName>
    <definedName name="STPDari">#REF!</definedName>
    <definedName name="t" hidden="1">{#N/A,#N/A,FALSE,"M.02"}</definedName>
    <definedName name="TambahAT">#REF!</definedName>
    <definedName name="TaxTV">10%</definedName>
    <definedName name="TaxXL">5%</definedName>
    <definedName name="Total">#REF!</definedName>
    <definedName name="u" hidden="1">{#N/A,#N/A,FALSE,"M.32"}</definedName>
    <definedName name="w" hidden="1">{#N/A,#N/A,FALSE,"M.01";#N/A,#N/A,FALSE,"M.01"}</definedName>
    <definedName name="wrn.M.01." hidden="1">{#N/A,#N/A,FALSE,"M.01"}</definedName>
    <definedName name="wrn.M.01D." hidden="1">{#N/A,#N/A,FALSE,"M.01";#N/A,#N/A,FALSE,"M.01"}</definedName>
    <definedName name="wrn.M.02." hidden="1">{#N/A,#N/A,FALSE,"M.02"}</definedName>
    <definedName name="wrn.M.31." hidden="1">{#N/A,#N/A,FALSE,"M.31"}</definedName>
    <definedName name="wrn.M.32." hidden="1">{#N/A,#N/A,FALSE,"M.32"}</definedName>
    <definedName name="wrn.M.33." hidden="1">{#N/A,#N/A,FALSE,"M.33"}</definedName>
    <definedName name="wrn.M.34." hidden="1">{#N/A,#N/A,FALSE,"M.34"}</definedName>
    <definedName name="wrn.M.41." hidden="1">{#N/A,#N/A,FALSE,"M.41"}</definedName>
    <definedName name="wrn.M.42" hidden="1">{#N/A,#N/A,FALSE,"M.41"}</definedName>
    <definedName name="wrn.M.42." hidden="1">{#N/A,#N/A,FALSE,"M.42"}</definedName>
    <definedName name="wrn.M.43." hidden="1">{#N/A,#N/A,FALSE,"M.43"}</definedName>
    <definedName name="x" hidden="1">{#N/A,#N/A,FALSE,"M.42"}</definedName>
    <definedName name="zone_saisie">'[5]Submission Form'!$A$4:$C$5,'[5]Submission Form'!$D$7,'[5]Submission Form'!$D$10:$D$11,'[5]Submission Form'!$D$17:$D$26,'[5]Submission Form'!$D$33</definedName>
  </definedNames>
  <calcPr calcId="130406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12" i="1"/>
  <c r="E13"/>
  <c r="F13"/>
  <c r="G13"/>
  <c r="B16"/>
  <c r="C16"/>
  <c r="F16"/>
  <c r="F37"/>
  <c r="D20"/>
  <c r="D21"/>
  <c r="H13"/>
  <c r="I13"/>
  <c r="I55"/>
  <c r="F23"/>
  <c r="F65"/>
  <c r="B24"/>
  <c r="B45"/>
  <c r="B87"/>
  <c r="B66"/>
  <c r="F24"/>
  <c r="F66"/>
  <c r="B27"/>
  <c r="B48"/>
  <c r="B90"/>
  <c r="B69"/>
  <c r="D28"/>
  <c r="D34"/>
  <c r="E34"/>
  <c r="F34"/>
  <c r="F36"/>
  <c r="G36"/>
  <c r="A35"/>
  <c r="B36"/>
  <c r="B37"/>
  <c r="B79"/>
  <c r="B58"/>
  <c r="A38"/>
  <c r="A39"/>
  <c r="A40"/>
  <c r="B41"/>
  <c r="D41"/>
  <c r="D42"/>
  <c r="D49"/>
  <c r="A42"/>
  <c r="A43"/>
  <c r="B44"/>
  <c r="F44"/>
  <c r="G44"/>
  <c r="F45"/>
  <c r="G45"/>
  <c r="H45"/>
  <c r="I45"/>
  <c r="J13"/>
  <c r="J45"/>
  <c r="K13"/>
  <c r="K45"/>
  <c r="A46"/>
  <c r="A47"/>
  <c r="D55"/>
  <c r="E55"/>
  <c r="F55"/>
  <c r="F57"/>
  <c r="G57"/>
  <c r="H57"/>
  <c r="F58"/>
  <c r="D62"/>
  <c r="D63"/>
  <c r="D70"/>
  <c r="D76"/>
  <c r="E76"/>
  <c r="F76"/>
  <c r="F86"/>
  <c r="G86"/>
  <c r="H86"/>
  <c r="I86"/>
  <c r="J86"/>
  <c r="K86"/>
  <c r="L13"/>
  <c r="L86"/>
  <c r="M13"/>
  <c r="M86"/>
  <c r="N13"/>
  <c r="N86"/>
  <c r="O13"/>
  <c r="O86"/>
  <c r="P13"/>
  <c r="P86"/>
  <c r="Q13"/>
  <c r="Q86"/>
  <c r="R13"/>
  <c r="R86"/>
  <c r="S13"/>
  <c r="S86"/>
  <c r="T13"/>
  <c r="T86"/>
  <c r="A77"/>
  <c r="A56"/>
  <c r="B78"/>
  <c r="B57"/>
  <c r="A80"/>
  <c r="A59"/>
  <c r="A81"/>
  <c r="A60"/>
  <c r="F81"/>
  <c r="A82"/>
  <c r="A61"/>
  <c r="B83"/>
  <c r="B62"/>
  <c r="D83"/>
  <c r="D84"/>
  <c r="D91"/>
  <c r="A84"/>
  <c r="A63"/>
  <c r="A85"/>
  <c r="A64"/>
  <c r="B86"/>
  <c r="B65"/>
  <c r="A88"/>
  <c r="A67"/>
  <c r="A89"/>
  <c r="A68"/>
  <c r="F97"/>
  <c r="G55"/>
  <c r="G34"/>
  <c r="G76"/>
  <c r="F87"/>
  <c r="G87"/>
  <c r="F15"/>
  <c r="G15"/>
  <c r="H15"/>
  <c r="H34"/>
  <c r="H55"/>
  <c r="H76"/>
  <c r="G78"/>
  <c r="I34"/>
  <c r="I76"/>
  <c r="J34"/>
  <c r="J55"/>
  <c r="J76"/>
  <c r="K55"/>
  <c r="K34"/>
  <c r="K76"/>
  <c r="L34"/>
  <c r="L55"/>
  <c r="L76"/>
  <c r="M55"/>
  <c r="M34"/>
  <c r="M76"/>
  <c r="N34"/>
  <c r="N55"/>
  <c r="N76"/>
  <c r="O55"/>
  <c r="O34"/>
  <c r="O76"/>
  <c r="P34"/>
  <c r="P55"/>
  <c r="P76"/>
  <c r="Q55"/>
  <c r="Q34"/>
  <c r="Q76"/>
  <c r="R34"/>
  <c r="R55"/>
  <c r="R76"/>
  <c r="S55"/>
  <c r="S34"/>
  <c r="S76"/>
  <c r="T34"/>
  <c r="T55"/>
  <c r="T76"/>
  <c r="F88"/>
  <c r="G16"/>
  <c r="H16"/>
  <c r="G58"/>
  <c r="G59"/>
  <c r="G81"/>
  <c r="G24"/>
  <c r="F59"/>
  <c r="F46"/>
  <c r="H44"/>
  <c r="I44"/>
  <c r="I46"/>
  <c r="G46"/>
  <c r="F17"/>
  <c r="F60"/>
  <c r="F39"/>
  <c r="J44"/>
  <c r="H46"/>
  <c r="H36"/>
  <c r="I36"/>
  <c r="J36"/>
  <c r="G37"/>
  <c r="G38"/>
  <c r="G23"/>
  <c r="F25"/>
  <c r="F38"/>
  <c r="L45"/>
  <c r="M45"/>
  <c r="N45"/>
  <c r="O45"/>
  <c r="P45"/>
  <c r="Q45"/>
  <c r="R45"/>
  <c r="S45"/>
  <c r="T45"/>
  <c r="I57"/>
  <c r="H58"/>
  <c r="H59"/>
  <c r="I16"/>
  <c r="H39"/>
  <c r="H81"/>
  <c r="H60"/>
  <c r="H37"/>
  <c r="H79"/>
  <c r="H38"/>
  <c r="K36"/>
  <c r="G17"/>
  <c r="F78"/>
  <c r="G79"/>
  <c r="G60"/>
  <c r="G39"/>
  <c r="F79"/>
  <c r="H17"/>
  <c r="H78"/>
  <c r="H80"/>
  <c r="I15"/>
  <c r="G88"/>
  <c r="H87"/>
  <c r="G80"/>
  <c r="F67"/>
  <c r="G66"/>
  <c r="H24"/>
  <c r="F80"/>
  <c r="J46"/>
  <c r="K44"/>
  <c r="G65"/>
  <c r="G67"/>
  <c r="H23"/>
  <c r="G25"/>
  <c r="L36"/>
  <c r="I37"/>
  <c r="I38"/>
  <c r="I58"/>
  <c r="I59"/>
  <c r="I79"/>
  <c r="J16"/>
  <c r="I39"/>
  <c r="I60"/>
  <c r="I81"/>
  <c r="J57"/>
  <c r="H88"/>
  <c r="I87"/>
  <c r="I17"/>
  <c r="I78"/>
  <c r="I80"/>
  <c r="J15"/>
  <c r="H66"/>
  <c r="I24"/>
  <c r="H25"/>
  <c r="H65"/>
  <c r="H67"/>
  <c r="I23"/>
  <c r="L44"/>
  <c r="K46"/>
  <c r="K57"/>
  <c r="J58"/>
  <c r="J59"/>
  <c r="K16"/>
  <c r="J39"/>
  <c r="J81"/>
  <c r="J60"/>
  <c r="J37"/>
  <c r="J38"/>
  <c r="J79"/>
  <c r="M36"/>
  <c r="J78"/>
  <c r="J80"/>
  <c r="J17"/>
  <c r="K15"/>
  <c r="J87"/>
  <c r="I88"/>
  <c r="J24"/>
  <c r="I66"/>
  <c r="M44"/>
  <c r="L46"/>
  <c r="J23"/>
  <c r="I65"/>
  <c r="I67"/>
  <c r="I25"/>
  <c r="N36"/>
  <c r="K37"/>
  <c r="K38"/>
  <c r="K58"/>
  <c r="K81"/>
  <c r="L16"/>
  <c r="K39"/>
  <c r="K60"/>
  <c r="K79"/>
  <c r="K59"/>
  <c r="L57"/>
  <c r="K17"/>
  <c r="K78"/>
  <c r="K80"/>
  <c r="L15"/>
  <c r="K87"/>
  <c r="J88"/>
  <c r="J66"/>
  <c r="K24"/>
  <c r="K23"/>
  <c r="J65"/>
  <c r="J67"/>
  <c r="J25"/>
  <c r="M46"/>
  <c r="N44"/>
  <c r="M57"/>
  <c r="L58"/>
  <c r="L59"/>
  <c r="M16"/>
  <c r="L39"/>
  <c r="L81"/>
  <c r="L60"/>
  <c r="L37"/>
  <c r="L38"/>
  <c r="L79"/>
  <c r="O36"/>
  <c r="L17"/>
  <c r="L78"/>
  <c r="M15"/>
  <c r="L87"/>
  <c r="K88"/>
  <c r="K66"/>
  <c r="L24"/>
  <c r="O44"/>
  <c r="N46"/>
  <c r="L23"/>
  <c r="K65"/>
  <c r="K67"/>
  <c r="K25"/>
  <c r="L80"/>
  <c r="P36"/>
  <c r="N57"/>
  <c r="N16"/>
  <c r="M39"/>
  <c r="M60"/>
  <c r="M81"/>
  <c r="M37"/>
  <c r="M38"/>
  <c r="M58"/>
  <c r="M59"/>
  <c r="M79"/>
  <c r="M87"/>
  <c r="L88"/>
  <c r="M17"/>
  <c r="M78"/>
  <c r="M80"/>
  <c r="N15"/>
  <c r="L66"/>
  <c r="M24"/>
  <c r="L65"/>
  <c r="L67"/>
  <c r="M23"/>
  <c r="L25"/>
  <c r="P44"/>
  <c r="O46"/>
  <c r="N60"/>
  <c r="N37"/>
  <c r="N38"/>
  <c r="N79"/>
  <c r="N58"/>
  <c r="O16"/>
  <c r="N39"/>
  <c r="N81"/>
  <c r="O57"/>
  <c r="N59"/>
  <c r="Q36"/>
  <c r="M88"/>
  <c r="N87"/>
  <c r="O15"/>
  <c r="N17"/>
  <c r="N78"/>
  <c r="N80"/>
  <c r="N24"/>
  <c r="M66"/>
  <c r="Q44"/>
  <c r="P46"/>
  <c r="N23"/>
  <c r="M65"/>
  <c r="M67"/>
  <c r="M25"/>
  <c r="R36"/>
  <c r="P57"/>
  <c r="P16"/>
  <c r="O39"/>
  <c r="O60"/>
  <c r="O79"/>
  <c r="O37"/>
  <c r="O38"/>
  <c r="O58"/>
  <c r="O59"/>
  <c r="O81"/>
  <c r="O87"/>
  <c r="N88"/>
  <c r="P15"/>
  <c r="O17"/>
  <c r="O78"/>
  <c r="O80"/>
  <c r="N66"/>
  <c r="O24"/>
  <c r="O23"/>
  <c r="N65"/>
  <c r="N67"/>
  <c r="N25"/>
  <c r="Q46"/>
  <c r="R44"/>
  <c r="Q57"/>
  <c r="P58"/>
  <c r="P59"/>
  <c r="Q16"/>
  <c r="P39"/>
  <c r="P81"/>
  <c r="P60"/>
  <c r="P37"/>
  <c r="P38"/>
  <c r="P79"/>
  <c r="S36"/>
  <c r="P17"/>
  <c r="P78"/>
  <c r="Q15"/>
  <c r="P87"/>
  <c r="O88"/>
  <c r="O66"/>
  <c r="P24"/>
  <c r="P80"/>
  <c r="S44"/>
  <c r="R46"/>
  <c r="P23"/>
  <c r="O65"/>
  <c r="O67"/>
  <c r="O25"/>
  <c r="T36"/>
  <c r="R57"/>
  <c r="Q37"/>
  <c r="Q38"/>
  <c r="Q58"/>
  <c r="Q59"/>
  <c r="Q79"/>
  <c r="R16"/>
  <c r="Q39"/>
  <c r="Q60"/>
  <c r="Q81"/>
  <c r="P88"/>
  <c r="Q87"/>
  <c r="Q17"/>
  <c r="Q78"/>
  <c r="Q80"/>
  <c r="R15"/>
  <c r="P66"/>
  <c r="Q24"/>
  <c r="P65"/>
  <c r="P67"/>
  <c r="Q23"/>
  <c r="P25"/>
  <c r="T44"/>
  <c r="T46"/>
  <c r="S46"/>
  <c r="R60"/>
  <c r="R37"/>
  <c r="R38"/>
  <c r="R79"/>
  <c r="R58"/>
  <c r="R59"/>
  <c r="S16"/>
  <c r="R39"/>
  <c r="R81"/>
  <c r="S57"/>
  <c r="R87"/>
  <c r="Q88"/>
  <c r="R78"/>
  <c r="S15"/>
  <c r="R17"/>
  <c r="Q66"/>
  <c r="R24"/>
  <c r="R80"/>
  <c r="Q65"/>
  <c r="Q67"/>
  <c r="R23"/>
  <c r="Q25"/>
  <c r="S37"/>
  <c r="S38"/>
  <c r="S58"/>
  <c r="S81"/>
  <c r="S39"/>
  <c r="S79"/>
  <c r="T16"/>
  <c r="S60"/>
  <c r="S59"/>
  <c r="T57"/>
  <c r="S17"/>
  <c r="S78"/>
  <c r="T15"/>
  <c r="S87"/>
  <c r="R88"/>
  <c r="S24"/>
  <c r="R66"/>
  <c r="S23"/>
  <c r="R65"/>
  <c r="R25"/>
  <c r="T60"/>
  <c r="T39"/>
  <c r="T81"/>
  <c r="T58"/>
  <c r="T59"/>
  <c r="T79"/>
  <c r="T37"/>
  <c r="T38"/>
  <c r="S80"/>
  <c r="T87"/>
  <c r="T88"/>
  <c r="S88"/>
  <c r="T17"/>
  <c r="T78"/>
  <c r="T80"/>
  <c r="S66"/>
  <c r="T24"/>
  <c r="T66"/>
  <c r="R67"/>
  <c r="S65"/>
  <c r="S67"/>
  <c r="T23"/>
  <c r="S25"/>
  <c r="T65"/>
  <c r="T67"/>
  <c r="T25"/>
  <c r="E20"/>
  <c r="E21"/>
  <c r="F48"/>
  <c r="F49"/>
  <c r="G48"/>
  <c r="G49"/>
  <c r="H48"/>
  <c r="H49"/>
  <c r="I48"/>
  <c r="I49"/>
  <c r="J48"/>
  <c r="J49"/>
  <c r="K48"/>
  <c r="K49"/>
  <c r="L48"/>
  <c r="L49"/>
  <c r="M48"/>
  <c r="M49"/>
  <c r="N48"/>
  <c r="N49"/>
  <c r="O48"/>
  <c r="O49"/>
  <c r="P48"/>
  <c r="P49"/>
  <c r="Q48"/>
  <c r="Q49"/>
  <c r="R48"/>
  <c r="R49"/>
  <c r="S48"/>
  <c r="S49"/>
  <c r="T48"/>
  <c r="T49"/>
  <c r="E41"/>
  <c r="E42"/>
  <c r="E49"/>
  <c r="C51"/>
  <c r="D8"/>
  <c r="F90"/>
  <c r="F91"/>
  <c r="G90"/>
  <c r="G91"/>
  <c r="H90"/>
  <c r="H91"/>
  <c r="I90"/>
  <c r="I91"/>
  <c r="J90"/>
  <c r="J91"/>
  <c r="K90"/>
  <c r="K91"/>
  <c r="L90"/>
  <c r="L91"/>
  <c r="M90"/>
  <c r="M91"/>
  <c r="N90"/>
  <c r="N91"/>
  <c r="O90"/>
  <c r="O91"/>
  <c r="P90"/>
  <c r="P91"/>
  <c r="Q90"/>
  <c r="Q91"/>
  <c r="R90"/>
  <c r="R91"/>
  <c r="S90"/>
  <c r="S91"/>
  <c r="T90"/>
  <c r="T91"/>
  <c r="E83"/>
  <c r="E84"/>
  <c r="E91"/>
  <c r="C93"/>
  <c r="D10"/>
  <c r="F69"/>
  <c r="F70"/>
  <c r="G69"/>
  <c r="G70"/>
  <c r="H69"/>
  <c r="H70"/>
  <c r="I69"/>
  <c r="I70"/>
  <c r="J69"/>
  <c r="J70"/>
  <c r="K69"/>
  <c r="K70"/>
  <c r="L69"/>
  <c r="L70"/>
  <c r="M69"/>
  <c r="M70"/>
  <c r="N69"/>
  <c r="N70"/>
  <c r="O69"/>
  <c r="O70"/>
  <c r="P69"/>
  <c r="P70"/>
  <c r="Q69"/>
  <c r="Q70"/>
  <c r="R69"/>
  <c r="R70"/>
  <c r="S69"/>
  <c r="S70"/>
  <c r="T69"/>
  <c r="T70"/>
  <c r="E62"/>
  <c r="E63"/>
  <c r="E70"/>
  <c r="C72"/>
  <c r="D9"/>
  <c r="F27"/>
  <c r="F28"/>
  <c r="G27"/>
  <c r="G28"/>
  <c r="H27"/>
  <c r="H28"/>
  <c r="I27"/>
  <c r="I28"/>
  <c r="J27"/>
  <c r="J28"/>
  <c r="K27"/>
  <c r="K28"/>
  <c r="L27"/>
  <c r="L28"/>
  <c r="M27"/>
  <c r="M28"/>
  <c r="N27"/>
  <c r="N28"/>
  <c r="O27"/>
  <c r="O28"/>
  <c r="P27"/>
  <c r="P28"/>
  <c r="Q27"/>
  <c r="Q28"/>
  <c r="R27"/>
  <c r="R28"/>
  <c r="S27"/>
  <c r="S28"/>
  <c r="T27"/>
  <c r="T28"/>
  <c r="E28"/>
  <c r="C30"/>
  <c r="D7"/>
  <c r="C25" i="3"/>
  <c r="C29"/>
  <c r="C30"/>
  <c r="D30"/>
  <c r="C31"/>
  <c r="D31"/>
  <c r="C32"/>
  <c r="C33"/>
  <c r="C34"/>
  <c r="C35"/>
  <c r="A39"/>
</calcChain>
</file>

<file path=xl/sharedStrings.xml><?xml version="1.0" encoding="utf-8"?>
<sst xmlns="http://schemas.openxmlformats.org/spreadsheetml/2006/main" count="117" uniqueCount="93">
  <si>
    <t>Total costs within Feasibility Study without CDM related costs (item no. 19, 20 in "FMJ_Feasibility Study document") and excluding overhead (item 22 in  "FMJ_Feasibility Study document")</t>
    <phoneticPr fontId="1" type="noConversion"/>
  </si>
  <si>
    <t>Agreement with compost buyer</t>
    <phoneticPr fontId="1" type="noConversion"/>
  </si>
  <si>
    <t>Author of financial analysis</t>
    <phoneticPr fontId="1" type="noConversion"/>
  </si>
  <si>
    <t>Feasibility Study</t>
    <phoneticPr fontId="1" type="noConversion"/>
  </si>
  <si>
    <t>-</t>
    <phoneticPr fontId="1" type="noConversion"/>
  </si>
  <si>
    <t>-</t>
    <phoneticPr fontId="1" type="noConversion"/>
  </si>
  <si>
    <t>http://www.indexmundi.com/indonesia/inflation_rate_%28consumer_prices%29.html</t>
  </si>
  <si>
    <t>FMJ_Indexmundi</t>
    <phoneticPr fontId="1" type="noConversion"/>
  </si>
  <si>
    <t>FMJ_Agreement with compost buyer</t>
    <phoneticPr fontId="1" type="noConversion"/>
  </si>
  <si>
    <t>Lifetime of machineries</t>
    <phoneticPr fontId="1" type="noConversion"/>
  </si>
  <si>
    <t>Investment y = 0</t>
    <phoneticPr fontId="1" type="noConversion"/>
  </si>
  <si>
    <t>Investment y = -1</t>
    <phoneticPr fontId="1" type="noConversion"/>
  </si>
  <si>
    <t>time period (year)</t>
    <phoneticPr fontId="1" type="noConversion"/>
  </si>
  <si>
    <t>Cell is inserted automatically through input sheet values or not needed</t>
    <phoneticPr fontId="1" type="noConversion"/>
  </si>
  <si>
    <t>Local currency</t>
  </si>
  <si>
    <t>'000 IDR</t>
  </si>
  <si>
    <t>PROJECT IDENTIFICATION</t>
  </si>
  <si>
    <t>Total investments</t>
  </si>
  <si>
    <t>Sensitivity analysis</t>
  </si>
  <si>
    <t>Case 1: Investment variation -10%</t>
  </si>
  <si>
    <t>Variation</t>
  </si>
  <si>
    <t>O&amp;M -10%</t>
  </si>
  <si>
    <t>Overhead</t>
    <phoneticPr fontId="1" type="noConversion"/>
  </si>
  <si>
    <t>FMJ_Agreement with EPC contractor, FMJ_Feasibility Study document</t>
    <phoneticPr fontId="1" type="noConversion"/>
  </si>
  <si>
    <t>Case 3: Revenues variation +10%</t>
  </si>
  <si>
    <t>Case 2: O&amp;M variation -10%</t>
  </si>
  <si>
    <t>FINANCIAL PARAMETERS</t>
    <phoneticPr fontId="1" type="noConversion"/>
  </si>
  <si>
    <t>Henricus Hutabarat</t>
    <phoneticPr fontId="1" type="noConversion"/>
  </si>
  <si>
    <t>Technical lifetime</t>
    <phoneticPr fontId="3" type="noConversion"/>
  </si>
  <si>
    <t>-</t>
    <phoneticPr fontId="1" type="noConversion"/>
  </si>
  <si>
    <t>PROJECT DATA</t>
  </si>
  <si>
    <t>COSTS AND EQUIPMENT</t>
    <phoneticPr fontId="1" type="noConversion"/>
  </si>
  <si>
    <t>Value needs to be inserted manually</t>
    <phoneticPr fontId="1" type="noConversion"/>
  </si>
  <si>
    <t>Cell is inserted automatically through input sheet values or not needed</t>
    <phoneticPr fontId="1" type="noConversion"/>
  </si>
  <si>
    <t>Reference</t>
    <phoneticPr fontId="1" type="noConversion"/>
  </si>
  <si>
    <t>Unit</t>
    <phoneticPr fontId="1" type="noConversion"/>
  </si>
  <si>
    <t>Value</t>
    <phoneticPr fontId="1" type="noConversion"/>
  </si>
  <si>
    <t>Initial</t>
    <phoneticPr fontId="1" type="noConversion"/>
  </si>
  <si>
    <t>---</t>
    <phoneticPr fontId="1" type="noConversion"/>
  </si>
  <si>
    <t>Investment -10%</t>
    <phoneticPr fontId="1" type="noConversion"/>
  </si>
  <si>
    <t>Revenues +10%</t>
    <phoneticPr fontId="1" type="noConversion"/>
  </si>
  <si>
    <t>Commissioning year</t>
    <phoneticPr fontId="1" type="noConversion"/>
  </si>
  <si>
    <t>Residual asset income</t>
    <phoneticPr fontId="1" type="noConversion"/>
  </si>
  <si>
    <t>Insurance</t>
    <phoneticPr fontId="1" type="noConversion"/>
  </si>
  <si>
    <t>Reference</t>
    <phoneticPr fontId="1" type="noConversion"/>
  </si>
  <si>
    <t>N 0.65014° latitude  and  E 101.48678° longitude</t>
    <phoneticPr fontId="1" type="noConversion"/>
  </si>
  <si>
    <t>Value as per Feasibility Study is taken; Historical FFB processed in mill 2008 would be 106,775 t FFB, EFB/FFB ratio is assumed to be 22%,  Compost/EFB ratio is assumed to be 50% which would give an annual compost production of 11,745 t/year</t>
    <phoneticPr fontId="1" type="noConversion"/>
  </si>
  <si>
    <t xml:space="preserve">FMJ_feasibility study, FMJ_FFB_processed 2007-2009, FMJ_CTE_15_Suchardt_Compost (page 7 bottom), </t>
    <phoneticPr fontId="1" type="noConversion"/>
  </si>
  <si>
    <t>Variation that hits the Benchmark</t>
    <phoneticPr fontId="1" type="noConversion"/>
  </si>
  <si>
    <t>year</t>
    <phoneticPr fontId="3" type="noConversion"/>
  </si>
  <si>
    <t>http://www.bi.go.id/web/en/Statistik/Statistik+Ekonomi+dan+Keuangan+Indonesia/Versi+HTML/Sektor+Moneter/#</t>
    <phoneticPr fontId="1" type="noConversion"/>
  </si>
  <si>
    <t>Total operating expenses</t>
  </si>
  <si>
    <t>Operating expenses</t>
  </si>
  <si>
    <t>Operation &amp; maintenance</t>
  </si>
  <si>
    <t>Revenues</t>
  </si>
  <si>
    <t>Total revenues</t>
  </si>
  <si>
    <t>delay (year)</t>
    <phoneticPr fontId="1" type="noConversion"/>
  </si>
  <si>
    <t>Unit</t>
    <phoneticPr fontId="1" type="noConversion"/>
  </si>
  <si>
    <t>Value</t>
    <phoneticPr fontId="1" type="noConversion"/>
  </si>
  <si>
    <t>Operation &amp; Maintenance cost</t>
    <phoneticPr fontId="3" type="noConversion"/>
  </si>
  <si>
    <t>Value</t>
    <phoneticPr fontId="1" type="noConversion"/>
  </si>
  <si>
    <t>date of reference</t>
    <phoneticPr fontId="1" type="noConversion"/>
  </si>
  <si>
    <t>Insurance</t>
  </si>
  <si>
    <t>Pre-tax Free Cash Flow</t>
  </si>
  <si>
    <t>Pre-tax project IRR</t>
  </si>
  <si>
    <t xml:space="preserve">PT. Fetty Mina Jaya </t>
    <phoneticPr fontId="1" type="noConversion"/>
  </si>
  <si>
    <t>CPA identification number</t>
    <phoneticPr fontId="1" type="noConversion"/>
  </si>
  <si>
    <t>GPS coordinate</t>
    <phoneticPr fontId="3" type="noConversion"/>
  </si>
  <si>
    <t>PMT entry number</t>
    <phoneticPr fontId="1" type="noConversion"/>
  </si>
  <si>
    <t>Name of reference document as stored in project folder</t>
    <phoneticPr fontId="1" type="noConversion"/>
  </si>
  <si>
    <t>% of Capex p.a.</t>
    <phoneticPr fontId="3" type="noConversion"/>
  </si>
  <si>
    <t xml:space="preserve">Investment </t>
  </si>
  <si>
    <t>Total investment</t>
  </si>
  <si>
    <t>Capital expenditure</t>
  </si>
  <si>
    <t>INPUTS</t>
  </si>
  <si>
    <t>Owner name</t>
    <phoneticPr fontId="3" type="noConversion"/>
  </si>
  <si>
    <t>POA name</t>
    <phoneticPr fontId="3" type="noConversion"/>
  </si>
  <si>
    <t>use "goal seek" function to fnd the variation that hits the benchmark</t>
    <phoneticPr fontId="1" type="noConversion"/>
  </si>
  <si>
    <t>IRR</t>
    <phoneticPr fontId="1" type="noConversion"/>
  </si>
  <si>
    <t>Annual compost production</t>
  </si>
  <si>
    <t>t/year</t>
  </si>
  <si>
    <t>Price of compost</t>
  </si>
  <si>
    <t>% per year</t>
  </si>
  <si>
    <t>Compost sale</t>
  </si>
  <si>
    <t>Inflation rate</t>
  </si>
  <si>
    <t>Composting and Co-composting Programme of Activities (PoA) in Indonesia</t>
  </si>
  <si>
    <t>001</t>
  </si>
  <si>
    <t>FMJ_Feasibility Study</t>
    <phoneticPr fontId="1" type="noConversion"/>
  </si>
  <si>
    <t>Contingency costs, 5% of Feasibility Study investment amount</t>
    <phoneticPr fontId="1" type="noConversion"/>
  </si>
  <si>
    <t xml:space="preserve"> FMJ_ Confirmation technical lifetime from TP</t>
    <phoneticPr fontId="1" type="noConversion"/>
  </si>
  <si>
    <t>Date at which financial analysis is conducted</t>
  </si>
  <si>
    <t>[Other operating expenditure]</t>
  </si>
  <si>
    <t>[Other revenues]</t>
  </si>
</sst>
</file>

<file path=xl/styles.xml><?xml version="1.0" encoding="utf-8"?>
<styleSheet xmlns="http://schemas.openxmlformats.org/spreadsheetml/2006/main">
  <numFmts count="6">
    <numFmt numFmtId="164" formatCode="_-* #,##0.00\ _€_-;\-* #,##0.00\ _€_-;_-* &quot;-&quot;??\ _€_-;_-@_-"/>
    <numFmt numFmtId="165" formatCode="_(* #,##0.00_);_(* \(#,##0.00\);_(* &quot;-&quot;??_);_(@_)"/>
    <numFmt numFmtId="166" formatCode="_(* #,##0_);_(* \(#,##0\);_(* &quot;-&quot;??_);_(@_)"/>
    <numFmt numFmtId="167" formatCode="#,##0_ ;\-#,##0\ "/>
    <numFmt numFmtId="168" formatCode="0_);\(0\)"/>
    <numFmt numFmtId="169" formatCode="_(* #,##0.0_);_(* \(#,##0.0\);_(* &quot;-&quot;?_);_(@_)"/>
  </numFmts>
  <fonts count="24">
    <font>
      <sz val="11"/>
      <color indexed="8"/>
      <name val="Calibri"/>
      <family val="2"/>
    </font>
    <font>
      <sz val="8"/>
      <name val="Verdana"/>
    </font>
    <font>
      <sz val="11"/>
      <color indexed="8"/>
      <name val="Calibri"/>
      <family val="2"/>
    </font>
    <font>
      <sz val="8"/>
      <name val="Arial"/>
    </font>
    <font>
      <u/>
      <sz val="7.5"/>
      <color indexed="12"/>
      <name val="Arial"/>
    </font>
    <font>
      <sz val="11"/>
      <name val="Calibri"/>
    </font>
    <font>
      <b/>
      <sz val="11"/>
      <name val="Calibri"/>
    </font>
    <font>
      <u/>
      <sz val="11"/>
      <name val="Calibri"/>
    </font>
    <font>
      <i/>
      <sz val="11"/>
      <name val="Calibri"/>
    </font>
    <font>
      <sz val="11"/>
      <color indexed="8"/>
      <name val="Times New Roman"/>
    </font>
    <font>
      <sz val="10"/>
      <color indexed="8"/>
      <name val="Calibri"/>
      <family val="2"/>
    </font>
    <font>
      <b/>
      <sz val="14"/>
      <color indexed="8"/>
      <name val="Times New Roman"/>
    </font>
    <font>
      <b/>
      <sz val="11"/>
      <color indexed="8"/>
      <name val="Times New Roman"/>
    </font>
    <font>
      <sz val="9"/>
      <color indexed="8"/>
      <name val="Times New Roman"/>
    </font>
    <font>
      <sz val="11"/>
      <name val="Times New Roman"/>
      <family val="1"/>
    </font>
    <font>
      <sz val="11"/>
      <name val="Calibri"/>
    </font>
    <font>
      <i/>
      <sz val="11"/>
      <name val="Calibri"/>
    </font>
    <font>
      <sz val="11"/>
      <color indexed="8"/>
      <name val="Times New Roman"/>
    </font>
    <font>
      <b/>
      <sz val="11"/>
      <name val="Calibri"/>
    </font>
    <font>
      <b/>
      <sz val="14"/>
      <color indexed="8"/>
      <name val="Times New Roman"/>
    </font>
    <font>
      <b/>
      <sz val="11"/>
      <color indexed="8"/>
      <name val="Times New Roman"/>
    </font>
    <font>
      <sz val="11"/>
      <color indexed="10"/>
      <name val="Times New Roman"/>
      <family val="1"/>
    </font>
    <font>
      <sz val="11"/>
      <color indexed="8"/>
      <name val="Times New Roman"/>
    </font>
    <font>
      <b/>
      <sz val="11"/>
      <color indexed="8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</cellStyleXfs>
  <cellXfs count="163">
    <xf numFmtId="0" fontId="0" fillId="0" borderId="0" xfId="0"/>
    <xf numFmtId="0" fontId="0" fillId="2" borderId="0" xfId="0" applyFill="1"/>
    <xf numFmtId="0" fontId="5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0" xfId="0" applyFont="1" applyFill="1" applyBorder="1"/>
    <xf numFmtId="0" fontId="6" fillId="2" borderId="0" xfId="0" applyFont="1" applyFill="1" applyBorder="1"/>
    <xf numFmtId="4" fontId="6" fillId="2" borderId="0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5" fillId="2" borderId="0" xfId="0" applyFont="1" applyFill="1"/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/>
    <xf numFmtId="38" fontId="5" fillId="2" borderId="4" xfId="0" applyNumberFormat="1" applyFont="1" applyFill="1" applyBorder="1" applyAlignment="1" applyProtection="1">
      <alignment horizontal="center"/>
    </xf>
    <xf numFmtId="0" fontId="6" fillId="2" borderId="6" xfId="0" applyFont="1" applyFill="1" applyBorder="1" applyAlignment="1">
      <alignment horizontal="left"/>
    </xf>
    <xf numFmtId="0" fontId="6" fillId="2" borderId="3" xfId="0" applyFont="1" applyFill="1" applyBorder="1"/>
    <xf numFmtId="0" fontId="5" fillId="0" borderId="0" xfId="0" applyFont="1"/>
    <xf numFmtId="0" fontId="5" fillId="2" borderId="2" xfId="0" applyFont="1" applyFill="1" applyBorder="1"/>
    <xf numFmtId="0" fontId="5" fillId="2" borderId="7" xfId="0" applyFont="1" applyFill="1" applyBorder="1"/>
    <xf numFmtId="0" fontId="5" fillId="0" borderId="8" xfId="0" applyFont="1" applyFill="1" applyBorder="1"/>
    <xf numFmtId="0" fontId="6" fillId="2" borderId="9" xfId="0" applyFont="1" applyFill="1" applyBorder="1" applyAlignment="1">
      <alignment horizontal="center"/>
    </xf>
    <xf numFmtId="0" fontId="0" fillId="3" borderId="0" xfId="0" applyFill="1"/>
    <xf numFmtId="0" fontId="5" fillId="2" borderId="8" xfId="0" applyFont="1" applyFill="1" applyBorder="1"/>
    <xf numFmtId="0" fontId="5" fillId="2" borderId="10" xfId="0" applyFont="1" applyFill="1" applyBorder="1" applyAlignment="1">
      <alignment horizontal="center"/>
    </xf>
    <xf numFmtId="0" fontId="0" fillId="2" borderId="4" xfId="0" applyFill="1" applyBorder="1"/>
    <xf numFmtId="0" fontId="0" fillId="4" borderId="4" xfId="0" applyFill="1" applyBorder="1"/>
    <xf numFmtId="0" fontId="5" fillId="2" borderId="4" xfId="0" applyFont="1" applyFill="1" applyBorder="1"/>
    <xf numFmtId="17" fontId="5" fillId="0" borderId="0" xfId="0" applyNumberFormat="1" applyFont="1"/>
    <xf numFmtId="10" fontId="5" fillId="0" borderId="0" xfId="0" applyNumberFormat="1" applyFont="1"/>
    <xf numFmtId="0" fontId="0" fillId="3" borderId="0" xfId="0" applyFill="1" applyAlignment="1">
      <alignment horizontal="left" vertical="top" wrapText="1"/>
    </xf>
    <xf numFmtId="0" fontId="6" fillId="2" borderId="0" xfId="0" applyFont="1" applyFill="1" applyBorder="1" applyAlignment="1">
      <alignment horizontal="center"/>
    </xf>
    <xf numFmtId="0" fontId="8" fillId="2" borderId="0" xfId="0" applyFont="1" applyFill="1" applyBorder="1"/>
    <xf numFmtId="2" fontId="5" fillId="2" borderId="11" xfId="0" applyNumberFormat="1" applyFont="1" applyFill="1" applyBorder="1"/>
    <xf numFmtId="49" fontId="8" fillId="2" borderId="0" xfId="0" applyNumberFormat="1" applyFont="1" applyFill="1" applyBorder="1"/>
    <xf numFmtId="2" fontId="5" fillId="2" borderId="12" xfId="0" applyNumberFormat="1" applyFont="1" applyFill="1" applyBorder="1"/>
    <xf numFmtId="2" fontId="5" fillId="2" borderId="4" xfId="0" applyNumberFormat="1" applyFont="1" applyFill="1" applyBorder="1"/>
    <xf numFmtId="0" fontId="6" fillId="2" borderId="4" xfId="0" applyFont="1" applyFill="1" applyBorder="1" applyAlignment="1">
      <alignment horizontal="center"/>
    </xf>
    <xf numFmtId="0" fontId="9" fillId="3" borderId="0" xfId="0" applyFont="1" applyFill="1"/>
    <xf numFmtId="0" fontId="9" fillId="2" borderId="0" xfId="0" applyFont="1" applyFill="1"/>
    <xf numFmtId="0" fontId="9" fillId="2" borderId="4" xfId="0" applyFont="1" applyFill="1" applyBorder="1"/>
    <xf numFmtId="0" fontId="9" fillId="4" borderId="4" xfId="0" applyFont="1" applyFill="1" applyBorder="1"/>
    <xf numFmtId="0" fontId="9" fillId="0" borderId="0" xfId="0" applyFont="1"/>
    <xf numFmtId="0" fontId="9" fillId="5" borderId="4" xfId="0" applyFont="1" applyFill="1" applyBorder="1" applyAlignment="1">
      <alignment wrapText="1"/>
    </xf>
    <xf numFmtId="0" fontId="9" fillId="5" borderId="6" xfId="0" applyFont="1" applyFill="1" applyBorder="1"/>
    <xf numFmtId="10" fontId="9" fillId="0" borderId="4" xfId="0" applyNumberFormat="1" applyFont="1" applyBorder="1" applyAlignment="1">
      <alignment wrapText="1"/>
    </xf>
    <xf numFmtId="0" fontId="9" fillId="0" borderId="4" xfId="0" quotePrefix="1" applyFont="1" applyBorder="1" applyAlignment="1">
      <alignment wrapText="1"/>
    </xf>
    <xf numFmtId="0" fontId="11" fillId="6" borderId="0" xfId="0" applyFont="1" applyFill="1"/>
    <xf numFmtId="0" fontId="9" fillId="2" borderId="13" xfId="0" applyFont="1" applyFill="1" applyBorder="1"/>
    <xf numFmtId="0" fontId="9" fillId="2" borderId="14" xfId="0" applyFont="1" applyFill="1" applyBorder="1"/>
    <xf numFmtId="0" fontId="12" fillId="2" borderId="14" xfId="0" applyFont="1" applyFill="1" applyBorder="1" applyAlignment="1">
      <alignment horizontal="center"/>
    </xf>
    <xf numFmtId="0" fontId="12" fillId="2" borderId="13" xfId="0" applyFont="1" applyFill="1" applyBorder="1"/>
    <xf numFmtId="167" fontId="9" fillId="2" borderId="14" xfId="0" applyNumberFormat="1" applyFont="1" applyFill="1" applyBorder="1"/>
    <xf numFmtId="167" fontId="9" fillId="2" borderId="13" xfId="0" applyNumberFormat="1" applyFont="1" applyFill="1" applyBorder="1"/>
    <xf numFmtId="0" fontId="9" fillId="2" borderId="5" xfId="0" applyFont="1" applyFill="1" applyBorder="1"/>
    <xf numFmtId="0" fontId="9" fillId="2" borderId="0" xfId="0" applyFont="1" applyFill="1" applyBorder="1"/>
    <xf numFmtId="167" fontId="9" fillId="2" borderId="0" xfId="0" applyNumberFormat="1" applyFont="1" applyFill="1" applyBorder="1"/>
    <xf numFmtId="167" fontId="9" fillId="2" borderId="5" xfId="0" applyNumberFormat="1" applyFont="1" applyFill="1" applyBorder="1"/>
    <xf numFmtId="167" fontId="9" fillId="7" borderId="5" xfId="0" applyNumberFormat="1" applyFont="1" applyFill="1" applyBorder="1"/>
    <xf numFmtId="167" fontId="9" fillId="7" borderId="0" xfId="0" applyNumberFormat="1" applyFont="1" applyFill="1" applyBorder="1"/>
    <xf numFmtId="0" fontId="12" fillId="2" borderId="15" xfId="0" applyFont="1" applyFill="1" applyBorder="1"/>
    <xf numFmtId="0" fontId="9" fillId="2" borderId="10" xfId="0" applyFont="1" applyFill="1" applyBorder="1"/>
    <xf numFmtId="167" fontId="12" fillId="2" borderId="10" xfId="0" applyNumberFormat="1" applyFont="1" applyFill="1" applyBorder="1"/>
    <xf numFmtId="167" fontId="12" fillId="2" borderId="15" xfId="1" applyNumberFormat="1" applyFont="1" applyFill="1" applyBorder="1"/>
    <xf numFmtId="167" fontId="12" fillId="2" borderId="10" xfId="1" applyNumberFormat="1" applyFont="1" applyFill="1" applyBorder="1"/>
    <xf numFmtId="0" fontId="12" fillId="2" borderId="6" xfId="0" applyFont="1" applyFill="1" applyBorder="1"/>
    <xf numFmtId="0" fontId="12" fillId="2" borderId="3" xfId="0" applyFont="1" applyFill="1" applyBorder="1"/>
    <xf numFmtId="167" fontId="12" fillId="2" borderId="3" xfId="0" applyNumberFormat="1" applyFont="1" applyFill="1" applyBorder="1"/>
    <xf numFmtId="167" fontId="12" fillId="2" borderId="6" xfId="0" applyNumberFormat="1" applyFont="1" applyFill="1" applyBorder="1"/>
    <xf numFmtId="0" fontId="12" fillId="2" borderId="0" xfId="0" applyFont="1" applyFill="1"/>
    <xf numFmtId="167" fontId="14" fillId="2" borderId="0" xfId="1" applyNumberFormat="1" applyFont="1" applyFill="1" applyBorder="1"/>
    <xf numFmtId="167" fontId="12" fillId="2" borderId="15" xfId="0" applyNumberFormat="1" applyFont="1" applyFill="1" applyBorder="1"/>
    <xf numFmtId="167" fontId="9" fillId="2" borderId="5" xfId="1" applyNumberFormat="1" applyFont="1" applyFill="1" applyBorder="1"/>
    <xf numFmtId="167" fontId="9" fillId="2" borderId="0" xfId="1" applyNumberFormat="1" applyFont="1" applyFill="1" applyBorder="1"/>
    <xf numFmtId="0" fontId="9" fillId="2" borderId="3" xfId="0" applyFont="1" applyFill="1" applyBorder="1"/>
    <xf numFmtId="0" fontId="9" fillId="2" borderId="16" xfId="0" applyFont="1" applyFill="1" applyBorder="1"/>
    <xf numFmtId="10" fontId="9" fillId="2" borderId="17" xfId="0" applyNumberFormat="1" applyFont="1" applyFill="1" applyBorder="1"/>
    <xf numFmtId="0" fontId="15" fillId="2" borderId="18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7" fillId="2" borderId="14" xfId="0" applyFont="1" applyFill="1" applyBorder="1"/>
    <xf numFmtId="0" fontId="17" fillId="2" borderId="0" xfId="0" applyFont="1" applyFill="1" applyBorder="1"/>
    <xf numFmtId="0" fontId="12" fillId="2" borderId="13" xfId="0" applyFont="1" applyFill="1" applyBorder="1" applyAlignment="1">
      <alignment horizontal="center"/>
    </xf>
    <xf numFmtId="166" fontId="9" fillId="2" borderId="5" xfId="1" applyNumberFormat="1" applyFont="1" applyFill="1" applyBorder="1"/>
    <xf numFmtId="0" fontId="0" fillId="2" borderId="0" xfId="0" applyFill="1" applyAlignment="1">
      <alignment wrapText="1"/>
    </xf>
    <xf numFmtId="0" fontId="5" fillId="2" borderId="0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38" fontId="5" fillId="2" borderId="4" xfId="0" applyNumberFormat="1" applyFont="1" applyFill="1" applyBorder="1" applyAlignment="1" applyProtection="1">
      <alignment horizontal="left"/>
    </xf>
    <xf numFmtId="0" fontId="5" fillId="2" borderId="4" xfId="0" applyFont="1" applyFill="1" applyBorder="1" applyAlignment="1">
      <alignment horizontal="left"/>
    </xf>
    <xf numFmtId="0" fontId="15" fillId="2" borderId="4" xfId="0" applyFont="1" applyFill="1" applyBorder="1" applyAlignment="1">
      <alignment horizontal="left"/>
    </xf>
    <xf numFmtId="0" fontId="5" fillId="2" borderId="6" xfId="0" applyFont="1" applyFill="1" applyBorder="1"/>
    <xf numFmtId="0" fontId="5" fillId="2" borderId="6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center"/>
    </xf>
    <xf numFmtId="0" fontId="6" fillId="2" borderId="14" xfId="0" applyFont="1" applyFill="1" applyBorder="1"/>
    <xf numFmtId="0" fontId="5" fillId="2" borderId="14" xfId="0" applyFont="1" applyFill="1" applyBorder="1" applyAlignment="1">
      <alignment wrapText="1"/>
    </xf>
    <xf numFmtId="0" fontId="18" fillId="2" borderId="4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38" fontId="15" fillId="2" borderId="4" xfId="0" applyNumberFormat="1" applyFont="1" applyFill="1" applyBorder="1" applyAlignment="1" applyProtection="1">
      <alignment horizontal="left"/>
    </xf>
    <xf numFmtId="0" fontId="6" fillId="2" borderId="19" xfId="0" applyFont="1" applyFill="1" applyBorder="1" applyAlignment="1">
      <alignment horizontal="center" wrapText="1"/>
    </xf>
    <xf numFmtId="0" fontId="15" fillId="2" borderId="6" xfId="0" applyFont="1" applyFill="1" applyBorder="1"/>
    <xf numFmtId="0" fontId="15" fillId="2" borderId="15" xfId="0" applyFont="1" applyFill="1" applyBorder="1"/>
    <xf numFmtId="38" fontId="9" fillId="2" borderId="0" xfId="0" applyNumberFormat="1" applyFont="1" applyFill="1" applyBorder="1"/>
    <xf numFmtId="9" fontId="9" fillId="7" borderId="0" xfId="3" applyFont="1" applyFill="1" applyBorder="1"/>
    <xf numFmtId="0" fontId="19" fillId="6" borderId="0" xfId="0" applyFont="1" applyFill="1"/>
    <xf numFmtId="0" fontId="20" fillId="6" borderId="0" xfId="0" applyFont="1" applyFill="1"/>
    <xf numFmtId="0" fontId="12" fillId="2" borderId="0" xfId="0" applyFont="1" applyFill="1" applyBorder="1"/>
    <xf numFmtId="10" fontId="9" fillId="2" borderId="0" xfId="0" applyNumberFormat="1" applyFont="1" applyFill="1" applyBorder="1"/>
    <xf numFmtId="167" fontId="21" fillId="2" borderId="0" xfId="1" applyNumberFormat="1" applyFont="1" applyFill="1" applyBorder="1"/>
    <xf numFmtId="167" fontId="21" fillId="2" borderId="5" xfId="0" applyNumberFormat="1" applyFont="1" applyFill="1" applyBorder="1"/>
    <xf numFmtId="167" fontId="21" fillId="2" borderId="0" xfId="0" applyNumberFormat="1" applyFont="1" applyFill="1" applyBorder="1"/>
    <xf numFmtId="0" fontId="21" fillId="2" borderId="5" xfId="0" applyFont="1" applyFill="1" applyBorder="1"/>
    <xf numFmtId="0" fontId="21" fillId="2" borderId="0" xfId="0" applyFont="1" applyFill="1" applyBorder="1"/>
    <xf numFmtId="0" fontId="21" fillId="2" borderId="0" xfId="0" applyFont="1" applyFill="1"/>
    <xf numFmtId="166" fontId="21" fillId="2" borderId="5" xfId="1" applyNumberFormat="1" applyFont="1" applyFill="1" applyBorder="1"/>
    <xf numFmtId="38" fontId="21" fillId="2" borderId="0" xfId="0" applyNumberFormat="1" applyFont="1" applyFill="1" applyBorder="1"/>
    <xf numFmtId="9" fontId="21" fillId="2" borderId="0" xfId="3" applyFont="1" applyFill="1" applyBorder="1"/>
    <xf numFmtId="166" fontId="21" fillId="2" borderId="0" xfId="1" applyNumberFormat="1" applyFont="1" applyFill="1" applyBorder="1"/>
    <xf numFmtId="0" fontId="17" fillId="5" borderId="6" xfId="0" applyFont="1" applyFill="1" applyBorder="1"/>
    <xf numFmtId="0" fontId="15" fillId="4" borderId="4" xfId="0" applyFont="1" applyFill="1" applyBorder="1" applyAlignment="1" applyProtection="1">
      <alignment horizontal="right"/>
      <protection locked="0"/>
    </xf>
    <xf numFmtId="15" fontId="8" fillId="4" borderId="4" xfId="0" applyNumberFormat="1" applyFont="1" applyFill="1" applyBorder="1"/>
    <xf numFmtId="0" fontId="8" fillId="4" borderId="4" xfId="0" applyFont="1" applyFill="1" applyBorder="1" applyAlignment="1">
      <alignment wrapText="1"/>
    </xf>
    <xf numFmtId="3" fontId="15" fillId="4" borderId="4" xfId="0" applyNumberFormat="1" applyFont="1" applyFill="1" applyBorder="1" applyAlignment="1" applyProtection="1">
      <alignment horizontal="right"/>
      <protection locked="0"/>
    </xf>
    <xf numFmtId="15" fontId="10" fillId="4" borderId="4" xfId="0" applyNumberFormat="1" applyFont="1" applyFill="1" applyBorder="1" applyAlignment="1">
      <alignment horizontal="right" wrapText="1"/>
    </xf>
    <xf numFmtId="166" fontId="15" fillId="4" borderId="18" xfId="1" applyNumberFormat="1" applyFont="1" applyFill="1" applyBorder="1" applyAlignment="1" applyProtection="1">
      <alignment horizontal="right"/>
      <protection locked="0"/>
    </xf>
    <xf numFmtId="0" fontId="16" fillId="4" borderId="18" xfId="0" applyFont="1" applyFill="1" applyBorder="1" applyAlignment="1">
      <alignment wrapText="1"/>
    </xf>
    <xf numFmtId="15" fontId="8" fillId="4" borderId="18" xfId="0" applyNumberFormat="1" applyFont="1" applyFill="1" applyBorder="1"/>
    <xf numFmtId="10" fontId="15" fillId="4" borderId="4" xfId="0" applyNumberFormat="1" applyFont="1" applyFill="1" applyBorder="1" applyAlignment="1" applyProtection="1">
      <alignment horizontal="right"/>
      <protection locked="0"/>
    </xf>
    <xf numFmtId="15" fontId="5" fillId="4" borderId="18" xfId="0" applyNumberFormat="1" applyFont="1" applyFill="1" applyBorder="1"/>
    <xf numFmtId="3" fontId="15" fillId="4" borderId="11" xfId="0" applyNumberFormat="1" applyFont="1" applyFill="1" applyBorder="1" applyAlignment="1" applyProtection="1">
      <alignment horizontal="right"/>
      <protection locked="0"/>
    </xf>
    <xf numFmtId="168" fontId="15" fillId="4" borderId="11" xfId="1" applyNumberFormat="1" applyFont="1" applyFill="1" applyBorder="1" applyAlignment="1" applyProtection="1">
      <alignment horizontal="right"/>
      <protection locked="0"/>
    </xf>
    <xf numFmtId="0" fontId="8" fillId="4" borderId="18" xfId="0" applyFont="1" applyFill="1" applyBorder="1" applyAlignment="1">
      <alignment wrapText="1"/>
    </xf>
    <xf numFmtId="3" fontId="15" fillId="4" borderId="11" xfId="1" applyNumberFormat="1" applyFont="1" applyFill="1" applyBorder="1" applyAlignment="1" applyProtection="1">
      <alignment horizontal="right"/>
      <protection locked="0"/>
    </xf>
    <xf numFmtId="38" fontId="15" fillId="4" borderId="11" xfId="0" applyNumberFormat="1" applyFont="1" applyFill="1" applyBorder="1" applyAlignment="1" applyProtection="1">
      <alignment horizontal="right"/>
      <protection locked="0"/>
    </xf>
    <xf numFmtId="10" fontId="15" fillId="4" borderId="11" xfId="0" applyNumberFormat="1" applyFont="1" applyFill="1" applyBorder="1" applyAlignment="1" applyProtection="1">
      <alignment horizontal="right"/>
      <protection locked="0"/>
    </xf>
    <xf numFmtId="0" fontId="16" fillId="4" borderId="4" xfId="0" applyFont="1" applyFill="1" applyBorder="1" applyAlignment="1">
      <alignment wrapText="1"/>
    </xf>
    <xf numFmtId="0" fontId="8" fillId="4" borderId="9" xfId="0" applyFont="1" applyFill="1" applyBorder="1"/>
    <xf numFmtId="0" fontId="5" fillId="4" borderId="8" xfId="0" applyFont="1" applyFill="1" applyBorder="1"/>
    <xf numFmtId="0" fontId="6" fillId="4" borderId="4" xfId="0" applyFont="1" applyFill="1" applyBorder="1" applyAlignment="1">
      <alignment horizontal="center"/>
    </xf>
    <xf numFmtId="0" fontId="8" fillId="4" borderId="11" xfId="0" applyFont="1" applyFill="1" applyBorder="1"/>
    <xf numFmtId="166" fontId="7" fillId="2" borderId="3" xfId="2" applyNumberFormat="1" applyFont="1" applyFill="1" applyBorder="1" applyAlignment="1" applyProtection="1"/>
    <xf numFmtId="3" fontId="22" fillId="0" borderId="20" xfId="0" applyNumberFormat="1" applyFont="1" applyBorder="1" applyAlignment="1">
      <alignment horizontal="center" wrapText="1"/>
    </xf>
    <xf numFmtId="0" fontId="23" fillId="2" borderId="6" xfId="0" applyFont="1" applyFill="1" applyBorder="1"/>
    <xf numFmtId="0" fontId="23" fillId="2" borderId="21" xfId="0" applyFont="1" applyFill="1" applyBorder="1"/>
    <xf numFmtId="9" fontId="9" fillId="4" borderId="4" xfId="3" applyNumberFormat="1" applyFont="1" applyFill="1" applyBorder="1" applyAlignment="1">
      <alignment horizontal="right" vertical="top" wrapText="1"/>
    </xf>
    <xf numFmtId="0" fontId="13" fillId="2" borderId="14" xfId="0" applyFont="1" applyFill="1" applyBorder="1"/>
    <xf numFmtId="37" fontId="15" fillId="4" borderId="11" xfId="1" applyNumberFormat="1" applyFont="1" applyFill="1" applyBorder="1" applyAlignment="1" applyProtection="1">
      <alignment horizontal="right"/>
      <protection locked="0"/>
    </xf>
    <xf numFmtId="166" fontId="5" fillId="2" borderId="0" xfId="1" applyNumberFormat="1" applyFont="1" applyFill="1"/>
    <xf numFmtId="10" fontId="5" fillId="2" borderId="0" xfId="0" applyNumberFormat="1" applyFont="1" applyFill="1"/>
    <xf numFmtId="169" fontId="5" fillId="0" borderId="0" xfId="0" applyNumberFormat="1" applyFont="1"/>
    <xf numFmtId="3" fontId="5" fillId="2" borderId="0" xfId="0" applyNumberFormat="1" applyFont="1" applyFill="1" applyAlignment="1">
      <alignment wrapText="1"/>
    </xf>
    <xf numFmtId="164" fontId="9" fillId="2" borderId="0" xfId="0" applyNumberFormat="1" applyFont="1" applyFill="1"/>
    <xf numFmtId="0" fontId="8" fillId="4" borderId="9" xfId="0" applyFont="1" applyFill="1" applyBorder="1" applyAlignment="1">
      <alignment wrapText="1"/>
    </xf>
    <xf numFmtId="0" fontId="15" fillId="4" borderId="15" xfId="0" quotePrefix="1" applyFont="1" applyFill="1" applyBorder="1" applyAlignment="1">
      <alignment horizontal="left" wrapText="1"/>
    </xf>
    <xf numFmtId="0" fontId="15" fillId="4" borderId="11" xfId="0" quotePrefix="1" applyFont="1" applyFill="1" applyBorder="1" applyAlignment="1">
      <alignment horizontal="left" wrapText="1"/>
    </xf>
    <xf numFmtId="14" fontId="15" fillId="4" borderId="15" xfId="0" quotePrefix="1" applyNumberFormat="1" applyFont="1" applyFill="1" applyBorder="1" applyAlignment="1">
      <alignment horizontal="left" wrapText="1"/>
    </xf>
    <xf numFmtId="0" fontId="15" fillId="4" borderId="15" xfId="0" applyFont="1" applyFill="1" applyBorder="1" applyAlignment="1">
      <alignment horizontal="left" wrapText="1"/>
    </xf>
    <xf numFmtId="0" fontId="0" fillId="3" borderId="0" xfId="0" applyFill="1" applyAlignment="1">
      <alignment horizontal="left" vertical="top" wrapText="1"/>
    </xf>
    <xf numFmtId="0" fontId="15" fillId="4" borderId="4" xfId="0" quotePrefix="1" applyFont="1" applyFill="1" applyBorder="1" applyAlignment="1">
      <alignment horizontal="left" wrapText="1"/>
    </xf>
    <xf numFmtId="0" fontId="9" fillId="3" borderId="0" xfId="0" applyFont="1" applyFill="1" applyAlignment="1">
      <alignment horizontal="left" vertical="top" wrapText="1"/>
    </xf>
  </cellXfs>
  <cellStyles count="4">
    <cellStyle name="Comma" xfId="1" builtinId="3"/>
    <cellStyle name="Hyperlink_ESL CER Calculator Electricity Projects - Kunming v2" xfId="2"/>
    <cellStyle name="Normal" xfId="0" builtinId="0"/>
    <cellStyle name="Percent" xfId="3" builtinId="5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4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7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9" Type="http://schemas.openxmlformats.org/officeDocument/2006/relationships/theme" Target="theme/theme1.xml"/><Relationship Id="rId3" Type="http://schemas.openxmlformats.org/officeDocument/2006/relationships/worksheet" Target="worksheets/sheet3.xml"/><Relationship Id="rId6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561975</xdr:colOff>
      <xdr:row>1</xdr:row>
      <xdr:rowOff>0</xdr:rowOff>
    </xdr:to>
    <xdr:pic>
      <xdr:nvPicPr>
        <xdr:cNvPr id="340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2099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800100</xdr:colOff>
      <xdr:row>1</xdr:row>
      <xdr:rowOff>0</xdr:rowOff>
    </xdr:to>
    <xdr:pic>
      <xdr:nvPicPr>
        <xdr:cNvPr id="137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718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123825</xdr:rowOff>
    </xdr:from>
    <xdr:to>
      <xdr:col>8</xdr:col>
      <xdr:colOff>133350</xdr:colOff>
      <xdr:row>59</xdr:row>
      <xdr:rowOff>123825</xdr:rowOff>
    </xdr:to>
    <xdr:pic>
      <xdr:nvPicPr>
        <xdr:cNvPr id="13711" name="Picture 1" descr="I.31 INTEREST RATE OF RUPIAH LOANS BY GROUP OF BANKS.pd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4325"/>
          <a:ext cx="5848350" cy="1104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16</xdr:col>
      <xdr:colOff>104775</xdr:colOff>
      <xdr:row>56</xdr:row>
      <xdr:rowOff>104775</xdr:rowOff>
    </xdr:to>
    <xdr:pic>
      <xdr:nvPicPr>
        <xdr:cNvPr id="13712" name="Picture 2" descr="I.31 INTEREST RATE OF RUPIAH LOANS BY GROUP OF BANKS.pdf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00" y="0"/>
          <a:ext cx="5819775" cy="1077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A/Clients/PLN/PLN%20Budget/PLN%20budget%20forms/Lk200312-02-03-0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/Volumes/NURUL%20JOE/LKSEM2001PJ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/Volumes/NURUL%20JOE/CashFlow012001Anggaran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/Hydro%20Power/PLTA%20PAMONA-2%20(#3x65MW)\New RAB Final\New-Keuangan-240108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/A/WINNT/Profiles/wkongsamut/Temporary%20Internet%20Files/Content.IE5/CDERGTUV/Danfoss%20Submission%20form%202004%20(1)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kRp"/>
      <sheetName val="PkVal"/>
      <sheetName val="PkJtRp"/>
      <sheetName val="PkJtVal"/>
      <sheetName val="ByDkpRp"/>
      <sheetName val="ByDkpVal"/>
      <sheetName val="ByDkpJtRp"/>
      <sheetName val="ByDkpJtVal"/>
      <sheetName val="ByPinjRp"/>
      <sheetName val="ByPinjV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_23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UshDeb00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LC"/>
      <sheetName val="Sheet5"/>
      <sheetName val="Summary Budget"/>
      <sheetName val="isi"/>
      <sheetName val="Inv"/>
      <sheetName val="Asumsi"/>
      <sheetName val="BS"/>
      <sheetName val="IS"/>
      <sheetName val="CF"/>
      <sheetName val="Dept"/>
      <sheetName val="WC"/>
      <sheetName val="kmk"/>
      <sheetName val="KI"/>
      <sheetName val="Sales"/>
      <sheetName val="Analisis"/>
      <sheetName val="Sked"/>
      <sheetName val="Biaya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0">
          <cell r="E10">
            <v>9200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ubmission Form"/>
      <sheetName val="Feuil2"/>
      <sheetName val="XL4Test5"/>
    </sheetNames>
    <sheetDataSet>
      <sheetData sheetId="0" refreshError="1">
        <row r="7">
          <cell r="D7" t="str">
            <v>3610</v>
          </cell>
        </row>
        <row r="10">
          <cell r="D10" t="str">
            <v>Philip Loh</v>
          </cell>
        </row>
        <row r="11">
          <cell r="D11" t="str">
            <v>6340 5720</v>
          </cell>
        </row>
        <row r="17">
          <cell r="D17">
            <v>0</v>
          </cell>
        </row>
        <row r="19">
          <cell r="D19" t="str">
            <v>Danfoss</v>
          </cell>
        </row>
        <row r="21">
          <cell r="D21" t="str">
            <v>Jalan Pesawat</v>
          </cell>
        </row>
        <row r="23">
          <cell r="D23">
            <v>22</v>
          </cell>
        </row>
        <row r="25">
          <cell r="D25" t="str">
            <v>N</v>
          </cell>
        </row>
        <row r="33">
          <cell r="D33" t="str">
            <v>We provide complimentary Shuttle to Airport  (2-way) at stipulated timing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K46"/>
  <sheetViews>
    <sheetView tabSelected="1" topLeftCell="A4" zoomScale="90" zoomScaleNormal="90" zoomScalePageLayoutView="90" workbookViewId="0">
      <selection activeCell="E39" sqref="E39"/>
    </sheetView>
  </sheetViews>
  <sheetFormatPr baseColWidth="10" defaultColWidth="10.6640625" defaultRowHeight="14"/>
  <cols>
    <col min="1" max="1" width="10.6640625" style="16"/>
    <col min="2" max="2" width="29" style="16" customWidth="1"/>
    <col min="3" max="3" width="14.1640625" style="16" bestFit="1" customWidth="1"/>
    <col min="4" max="4" width="13" style="16" customWidth="1"/>
    <col min="5" max="5" width="92" style="88" customWidth="1"/>
    <col min="6" max="6" width="15.1640625" style="16" customWidth="1"/>
    <col min="7" max="7" width="11.6640625" style="16" customWidth="1"/>
    <col min="8" max="8" width="65" style="16" customWidth="1"/>
    <col min="9" max="16384" width="10.6640625" style="16"/>
  </cols>
  <sheetData>
    <row r="1" spans="1:10" s="21" customFormat="1" ht="64.75" customHeight="1">
      <c r="D1" s="160"/>
      <c r="E1" s="160"/>
      <c r="F1" s="29"/>
      <c r="G1" s="29"/>
    </row>
    <row r="2" spans="1:10" s="1" customFormat="1">
      <c r="D2" s="24"/>
      <c r="E2" s="82" t="s">
        <v>33</v>
      </c>
    </row>
    <row r="3" spans="1:10" s="1" customFormat="1">
      <c r="D3" s="25"/>
      <c r="E3" s="82" t="s">
        <v>32</v>
      </c>
    </row>
    <row r="4" spans="1:10">
      <c r="A4" s="10"/>
      <c r="B4" s="6"/>
      <c r="C4" s="6"/>
      <c r="D4" s="2"/>
      <c r="E4" s="83"/>
      <c r="F4" s="6"/>
      <c r="G4" s="6"/>
      <c r="H4" s="10"/>
      <c r="I4" s="10"/>
      <c r="J4" s="10"/>
    </row>
    <row r="5" spans="1:10" ht="15" thickBot="1">
      <c r="A5" s="10"/>
      <c r="B5" s="3" t="s">
        <v>74</v>
      </c>
      <c r="C5" s="4"/>
      <c r="D5" s="5"/>
      <c r="E5" s="84"/>
      <c r="F5" s="17"/>
      <c r="G5" s="17"/>
      <c r="H5" s="17"/>
      <c r="I5" s="18"/>
      <c r="J5" s="6"/>
    </row>
    <row r="6" spans="1:10" ht="15" thickTop="1">
      <c r="A6" s="10"/>
      <c r="B6" s="30"/>
      <c r="C6" s="30"/>
      <c r="D6" s="2"/>
      <c r="E6" s="83"/>
      <c r="F6" s="6"/>
      <c r="G6" s="6"/>
      <c r="H6" s="6"/>
      <c r="I6" s="6"/>
      <c r="J6" s="6"/>
    </row>
    <row r="7" spans="1:10">
      <c r="A7" s="10"/>
      <c r="B7" s="14" t="s">
        <v>16</v>
      </c>
      <c r="C7" s="9"/>
      <c r="D7" s="15"/>
      <c r="E7" s="85"/>
      <c r="F7" s="6"/>
      <c r="G7" s="6"/>
      <c r="H7" s="6"/>
      <c r="I7" s="10"/>
      <c r="J7" s="10"/>
    </row>
    <row r="8" spans="1:10">
      <c r="A8" s="10"/>
      <c r="B8" s="12"/>
      <c r="C8" s="30"/>
      <c r="D8" s="30"/>
      <c r="E8" s="102" t="s">
        <v>60</v>
      </c>
      <c r="F8" s="30"/>
      <c r="G8" s="30"/>
      <c r="H8" s="30"/>
      <c r="I8" s="10"/>
      <c r="J8" s="10"/>
    </row>
    <row r="9" spans="1:10">
      <c r="A9" s="10"/>
      <c r="B9" s="92" t="s">
        <v>14</v>
      </c>
      <c r="C9" s="20"/>
      <c r="D9" s="161" t="s">
        <v>15</v>
      </c>
      <c r="E9" s="161"/>
      <c r="F9" s="30"/>
      <c r="G9" s="30"/>
      <c r="H9" s="30"/>
      <c r="I9" s="10"/>
      <c r="J9" s="10"/>
    </row>
    <row r="10" spans="1:10">
      <c r="A10" s="10"/>
      <c r="B10" s="93" t="s">
        <v>76</v>
      </c>
      <c r="C10" s="94"/>
      <c r="D10" s="159" t="s">
        <v>85</v>
      </c>
      <c r="E10" s="157"/>
      <c r="F10" s="31"/>
      <c r="G10" s="33"/>
      <c r="H10" s="31"/>
    </row>
    <row r="11" spans="1:10">
      <c r="A11" s="10"/>
      <c r="B11" s="93" t="s">
        <v>66</v>
      </c>
      <c r="C11" s="94"/>
      <c r="D11" s="156" t="s">
        <v>86</v>
      </c>
      <c r="E11" s="157"/>
      <c r="F11" s="31"/>
      <c r="G11" s="31"/>
      <c r="H11" s="31"/>
    </row>
    <row r="12" spans="1:10">
      <c r="A12" s="10"/>
      <c r="B12" s="93" t="s">
        <v>75</v>
      </c>
      <c r="C12" s="94"/>
      <c r="D12" s="159" t="s">
        <v>65</v>
      </c>
      <c r="E12" s="157"/>
      <c r="F12" s="31"/>
      <c r="G12" s="31"/>
      <c r="H12" s="31"/>
    </row>
    <row r="13" spans="1:10">
      <c r="A13" s="10"/>
      <c r="B13" s="92" t="s">
        <v>67</v>
      </c>
      <c r="C13" s="94"/>
      <c r="D13" s="159" t="s">
        <v>45</v>
      </c>
      <c r="E13" s="157"/>
      <c r="F13" s="31"/>
      <c r="G13" s="31"/>
      <c r="H13" s="31"/>
    </row>
    <row r="14" spans="1:10">
      <c r="A14" s="10"/>
      <c r="B14" s="12" t="s">
        <v>68</v>
      </c>
      <c r="C14" s="2"/>
      <c r="D14" s="156">
        <v>300803</v>
      </c>
      <c r="E14" s="157"/>
      <c r="F14" s="31"/>
      <c r="G14" s="31"/>
      <c r="H14" s="31"/>
    </row>
    <row r="15" spans="1:10">
      <c r="A15" s="10"/>
      <c r="B15" s="103" t="s">
        <v>90</v>
      </c>
      <c r="C15" s="94"/>
      <c r="D15" s="158">
        <v>38636</v>
      </c>
      <c r="E15" s="157"/>
      <c r="F15" s="31"/>
      <c r="G15" s="31"/>
      <c r="H15" s="31"/>
    </row>
    <row r="16" spans="1:10">
      <c r="A16" s="10"/>
      <c r="B16" s="104" t="s">
        <v>2</v>
      </c>
      <c r="C16" s="23"/>
      <c r="D16" s="159" t="s">
        <v>27</v>
      </c>
      <c r="E16" s="157"/>
      <c r="F16" s="31"/>
      <c r="G16" s="31"/>
      <c r="H16" s="31"/>
    </row>
    <row r="17" spans="1:11">
      <c r="A17" s="10"/>
      <c r="B17" s="30"/>
      <c r="C17" s="30"/>
      <c r="D17" s="2"/>
      <c r="E17" s="83"/>
      <c r="F17" s="6"/>
      <c r="G17" s="6"/>
      <c r="H17" s="6"/>
      <c r="I17" s="6"/>
      <c r="J17" s="6"/>
    </row>
    <row r="18" spans="1:11" ht="15" customHeight="1">
      <c r="A18" s="10"/>
      <c r="B18" s="7"/>
      <c r="C18" s="7"/>
      <c r="D18" s="2"/>
      <c r="E18" s="83"/>
      <c r="F18" s="6"/>
      <c r="G18" s="6"/>
      <c r="H18" s="6"/>
      <c r="I18" s="8"/>
      <c r="J18" s="6"/>
    </row>
    <row r="19" spans="1:11">
      <c r="A19" s="10"/>
      <c r="B19" s="95" t="s">
        <v>30</v>
      </c>
      <c r="C19" s="96"/>
      <c r="D19" s="97"/>
      <c r="E19" s="98"/>
      <c r="F19" s="22"/>
      <c r="G19" s="22"/>
      <c r="H19" s="19"/>
      <c r="I19" s="10"/>
      <c r="J19" s="10"/>
    </row>
    <row r="20" spans="1:11">
      <c r="A20" s="10"/>
      <c r="B20" s="99"/>
      <c r="C20" s="36" t="s">
        <v>57</v>
      </c>
      <c r="D20" s="36" t="s">
        <v>58</v>
      </c>
      <c r="E20" s="100" t="s">
        <v>44</v>
      </c>
      <c r="F20" s="36" t="s">
        <v>61</v>
      </c>
      <c r="G20" s="36" t="s">
        <v>56</v>
      </c>
      <c r="H20" s="36" t="s">
        <v>69</v>
      </c>
      <c r="I20" s="10"/>
      <c r="J20" s="10"/>
    </row>
    <row r="21" spans="1:11">
      <c r="A21" s="10"/>
      <c r="B21" s="90" t="s">
        <v>28</v>
      </c>
      <c r="C21" s="11" t="s">
        <v>49</v>
      </c>
      <c r="D21" s="122">
        <v>15</v>
      </c>
      <c r="E21" s="138" t="s">
        <v>9</v>
      </c>
      <c r="F21" s="123"/>
      <c r="G21" s="32"/>
      <c r="H21" s="139" t="s">
        <v>89</v>
      </c>
    </row>
    <row r="22" spans="1:11" ht="42">
      <c r="A22" s="10"/>
      <c r="B22" s="26" t="s">
        <v>79</v>
      </c>
      <c r="C22" s="11" t="s">
        <v>80</v>
      </c>
      <c r="D22" s="125">
        <v>12000</v>
      </c>
      <c r="E22" s="124" t="s">
        <v>46</v>
      </c>
      <c r="F22" s="126"/>
      <c r="G22" s="34"/>
      <c r="H22" s="155" t="s">
        <v>47</v>
      </c>
    </row>
    <row r="23" spans="1:11">
      <c r="A23" s="10"/>
      <c r="B23" s="14" t="s">
        <v>26</v>
      </c>
      <c r="C23" s="9"/>
      <c r="D23" s="15"/>
      <c r="E23" s="86"/>
      <c r="F23" s="22"/>
      <c r="G23" s="35"/>
      <c r="H23" s="140"/>
    </row>
    <row r="24" spans="1:11">
      <c r="A24" s="10"/>
      <c r="B24" s="26"/>
      <c r="C24" s="36" t="s">
        <v>35</v>
      </c>
      <c r="D24" s="36" t="s">
        <v>36</v>
      </c>
      <c r="E24" s="100" t="s">
        <v>34</v>
      </c>
      <c r="F24" s="36" t="s">
        <v>61</v>
      </c>
      <c r="G24" s="36"/>
      <c r="H24" s="141" t="s">
        <v>69</v>
      </c>
    </row>
    <row r="25" spans="1:11">
      <c r="A25" s="10"/>
      <c r="B25" s="90" t="s">
        <v>81</v>
      </c>
      <c r="C25" s="76" t="str">
        <f>currency&amp;"/t"</f>
        <v>'000 IDR/t</v>
      </c>
      <c r="D25" s="127">
        <v>285</v>
      </c>
      <c r="E25" s="128" t="s">
        <v>1</v>
      </c>
      <c r="F25" s="129"/>
      <c r="G25" s="34"/>
      <c r="H25" s="142" t="s">
        <v>8</v>
      </c>
    </row>
    <row r="26" spans="1:11">
      <c r="A26" s="10"/>
      <c r="B26" s="91" t="s">
        <v>84</v>
      </c>
      <c r="C26" s="77" t="s">
        <v>82</v>
      </c>
      <c r="D26" s="130">
        <v>6.3E-2</v>
      </c>
      <c r="E26" s="128" t="s">
        <v>6</v>
      </c>
      <c r="F26" s="131"/>
      <c r="G26" s="34"/>
      <c r="H26" s="142" t="s">
        <v>7</v>
      </c>
    </row>
    <row r="27" spans="1:11">
      <c r="A27" s="10"/>
      <c r="B27" s="14" t="s">
        <v>31</v>
      </c>
      <c r="C27" s="9"/>
      <c r="D27" s="143"/>
      <c r="E27" s="86"/>
      <c r="F27" s="22"/>
      <c r="G27" s="26"/>
      <c r="H27" s="140"/>
      <c r="J27" s="27"/>
      <c r="K27" s="28"/>
    </row>
    <row r="28" spans="1:11">
      <c r="A28" s="10"/>
      <c r="B28" s="90"/>
      <c r="C28" s="36" t="s">
        <v>35</v>
      </c>
      <c r="D28" s="36" t="s">
        <v>36</v>
      </c>
      <c r="E28" s="100" t="s">
        <v>34</v>
      </c>
      <c r="F28" s="36" t="s">
        <v>61</v>
      </c>
      <c r="G28" s="36" t="s">
        <v>12</v>
      </c>
      <c r="H28" s="141" t="s">
        <v>69</v>
      </c>
      <c r="J28" s="27"/>
      <c r="K28" s="28"/>
    </row>
    <row r="29" spans="1:11" ht="28">
      <c r="A29" s="10"/>
      <c r="B29" s="101" t="s">
        <v>17</v>
      </c>
      <c r="C29" s="13" t="str">
        <f>currency</f>
        <v>'000 IDR</v>
      </c>
      <c r="D29" s="132">
        <v>14117500</v>
      </c>
      <c r="E29" s="124" t="s">
        <v>0</v>
      </c>
      <c r="F29" s="123"/>
      <c r="G29" s="32"/>
      <c r="H29" s="142" t="s">
        <v>23</v>
      </c>
      <c r="J29" s="27"/>
      <c r="K29" s="28"/>
    </row>
    <row r="30" spans="1:11">
      <c r="A30" s="10"/>
      <c r="B30" s="101" t="s">
        <v>22</v>
      </c>
      <c r="C30" s="13" t="str">
        <f>currency</f>
        <v>'000 IDR</v>
      </c>
      <c r="D30" s="132">
        <f>D29*0.05</f>
        <v>705875</v>
      </c>
      <c r="E30" s="124" t="s">
        <v>88</v>
      </c>
      <c r="F30" s="123"/>
      <c r="G30" s="32"/>
      <c r="H30" s="142" t="s">
        <v>23</v>
      </c>
      <c r="J30" s="27"/>
      <c r="K30" s="28"/>
    </row>
    <row r="31" spans="1:11" s="10" customFormat="1">
      <c r="B31" s="26" t="s">
        <v>10</v>
      </c>
      <c r="C31" s="13" t="str">
        <f>currency</f>
        <v>'000 IDR</v>
      </c>
      <c r="D31" s="132">
        <f>D29+D30</f>
        <v>14823375</v>
      </c>
      <c r="E31" s="124"/>
      <c r="F31" s="123"/>
      <c r="G31" s="32"/>
      <c r="H31" s="142"/>
    </row>
    <row r="32" spans="1:11" s="10" customFormat="1">
      <c r="B32" s="26" t="s">
        <v>11</v>
      </c>
      <c r="C32" s="13" t="str">
        <f>currency</f>
        <v>'000 IDR</v>
      </c>
      <c r="D32" s="133">
        <v>0</v>
      </c>
      <c r="E32" s="124" t="s">
        <v>4</v>
      </c>
      <c r="F32" s="123"/>
      <c r="G32" s="32"/>
      <c r="H32" s="142" t="s">
        <v>4</v>
      </c>
    </row>
    <row r="33" spans="1:11">
      <c r="A33" s="10"/>
      <c r="B33" s="101" t="s">
        <v>92</v>
      </c>
      <c r="C33" s="13" t="str">
        <f>currency</f>
        <v>'000 IDR</v>
      </c>
      <c r="D33" s="149">
        <v>0</v>
      </c>
      <c r="E33" s="134" t="s">
        <v>29</v>
      </c>
      <c r="F33" s="123"/>
      <c r="G33" s="32"/>
      <c r="H33" s="142" t="s">
        <v>4</v>
      </c>
      <c r="J33" s="27"/>
      <c r="K33" s="28"/>
    </row>
    <row r="34" spans="1:11">
      <c r="A34" s="10"/>
      <c r="B34" s="89" t="s">
        <v>59</v>
      </c>
      <c r="C34" s="76" t="str">
        <f>currency&amp;"/year"</f>
        <v>'000 IDR/year</v>
      </c>
      <c r="D34" s="135">
        <v>2981240</v>
      </c>
      <c r="E34" s="124" t="s">
        <v>3</v>
      </c>
      <c r="F34" s="123"/>
      <c r="G34" s="32"/>
      <c r="H34" s="142" t="s">
        <v>87</v>
      </c>
    </row>
    <row r="35" spans="1:11">
      <c r="A35" s="10"/>
      <c r="B35" s="101" t="s">
        <v>91</v>
      </c>
      <c r="C35" s="76" t="str">
        <f>currency&amp;"/year"</f>
        <v>'000 IDR/year</v>
      </c>
      <c r="D35" s="136">
        <v>0</v>
      </c>
      <c r="E35" s="134" t="s">
        <v>4</v>
      </c>
      <c r="F35" s="123"/>
      <c r="G35" s="32"/>
      <c r="H35" s="142" t="s">
        <v>4</v>
      </c>
    </row>
    <row r="36" spans="1:11">
      <c r="A36" s="10"/>
      <c r="B36" s="89" t="s">
        <v>62</v>
      </c>
      <c r="C36" s="13" t="s">
        <v>70</v>
      </c>
      <c r="D36" s="137">
        <v>0</v>
      </c>
      <c r="E36" s="134" t="s">
        <v>5</v>
      </c>
      <c r="F36" s="123"/>
      <c r="G36" s="32"/>
      <c r="H36" s="142" t="s">
        <v>4</v>
      </c>
    </row>
    <row r="37" spans="1:11">
      <c r="A37" s="10"/>
      <c r="B37" s="10"/>
      <c r="C37" s="10"/>
      <c r="D37" s="10"/>
      <c r="E37" s="83"/>
      <c r="F37" s="6"/>
      <c r="G37" s="6"/>
      <c r="H37" s="10"/>
    </row>
    <row r="38" spans="1:11" s="10" customFormat="1">
      <c r="D38" s="150"/>
      <c r="E38" s="153"/>
    </row>
    <row r="39" spans="1:11" s="10" customFormat="1">
      <c r="A39" s="151">
        <f>'IRR calc'!D7</f>
        <v>-3.6329252840980701E-2</v>
      </c>
      <c r="D39" s="150"/>
      <c r="E39" s="87"/>
    </row>
    <row r="40" spans="1:11" s="10" customFormat="1">
      <c r="D40" s="150"/>
      <c r="E40" s="87"/>
    </row>
    <row r="41" spans="1:11" s="10" customFormat="1">
      <c r="D41" s="150"/>
      <c r="E41" s="87"/>
    </row>
    <row r="42" spans="1:11" s="10" customFormat="1">
      <c r="D42" s="150"/>
      <c r="E42" s="87"/>
    </row>
    <row r="43" spans="1:11" s="10" customFormat="1">
      <c r="D43" s="150"/>
      <c r="E43" s="87"/>
    </row>
    <row r="44" spans="1:11" s="10" customFormat="1">
      <c r="D44" s="150"/>
      <c r="E44" s="87"/>
    </row>
    <row r="45" spans="1:11" s="10" customFormat="1">
      <c r="D45" s="150"/>
      <c r="E45" s="87"/>
    </row>
    <row r="46" spans="1:11">
      <c r="D46" s="152"/>
    </row>
  </sheetData>
  <sheetCalcPr fullCalcOnLoad="1"/>
  <mergeCells count="9">
    <mergeCell ref="D14:E14"/>
    <mergeCell ref="D15:E15"/>
    <mergeCell ref="D16:E16"/>
    <mergeCell ref="D1:E1"/>
    <mergeCell ref="D9:E9"/>
    <mergeCell ref="D10:E10"/>
    <mergeCell ref="D11:E11"/>
    <mergeCell ref="D12:E12"/>
    <mergeCell ref="D13:E13"/>
  </mergeCells>
  <phoneticPr fontId="1" type="noConversion"/>
  <pageMargins left="0.75" right="0.75" top="1" bottom="1" header="0.5" footer="0.5"/>
  <headerFooter alignWithMargins="0"/>
  <colBreaks count="1" manualBreakCount="1">
    <brk id="9" max="1048575" man="1"/>
  </colBreak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T97"/>
  <sheetViews>
    <sheetView workbookViewId="0">
      <selection activeCell="D4" sqref="D4"/>
    </sheetView>
  </sheetViews>
  <sheetFormatPr baseColWidth="10" defaultColWidth="8.6640625" defaultRowHeight="13"/>
  <cols>
    <col min="1" max="1" width="4.1640625" style="38" customWidth="1"/>
    <col min="2" max="2" width="17.6640625" style="38" customWidth="1"/>
    <col min="3" max="3" width="16.6640625" style="38" bestFit="1" customWidth="1"/>
    <col min="4" max="4" width="17" style="38" customWidth="1"/>
    <col min="5" max="5" width="17" style="38" bestFit="1" customWidth="1"/>
    <col min="6" max="6" width="18.1640625" style="38" customWidth="1"/>
    <col min="7" max="7" width="16.33203125" style="38" customWidth="1"/>
    <col min="8" max="8" width="16.5" style="38" customWidth="1"/>
    <col min="9" max="9" width="16.33203125" style="38" customWidth="1"/>
    <col min="10" max="10" width="17.33203125" style="38" customWidth="1"/>
    <col min="11" max="11" width="16" style="38" customWidth="1"/>
    <col min="12" max="12" width="17.33203125" style="38" customWidth="1"/>
    <col min="13" max="13" width="15.6640625" style="38" customWidth="1"/>
    <col min="14" max="14" width="17.1640625" style="38" customWidth="1"/>
    <col min="15" max="15" width="15.1640625" style="38" customWidth="1"/>
    <col min="16" max="16" width="16.1640625" style="38" customWidth="1"/>
    <col min="17" max="17" width="16" style="38" customWidth="1"/>
    <col min="18" max="19" width="15.6640625" style="38" customWidth="1"/>
    <col min="20" max="20" width="15.1640625" style="38" customWidth="1"/>
    <col min="21" max="16384" width="8.6640625" style="38"/>
  </cols>
  <sheetData>
    <row r="1" spans="1:20" s="37" customFormat="1" ht="64.75" customHeight="1">
      <c r="D1" s="162"/>
      <c r="E1" s="162"/>
    </row>
    <row r="2" spans="1:20">
      <c r="D2" s="39"/>
      <c r="E2" s="38" t="s">
        <v>13</v>
      </c>
    </row>
    <row r="3" spans="1:20">
      <c r="D3" s="40"/>
      <c r="E3" s="38" t="s">
        <v>32</v>
      </c>
    </row>
    <row r="6" spans="1:20" ht="26">
      <c r="C6" s="41"/>
      <c r="D6" s="42" t="s">
        <v>78</v>
      </c>
      <c r="E6" s="42" t="s">
        <v>48</v>
      </c>
    </row>
    <row r="7" spans="1:20">
      <c r="C7" s="43" t="s">
        <v>37</v>
      </c>
      <c r="D7" s="44">
        <f>C30</f>
        <v>-3.6329252840980701E-2</v>
      </c>
      <c r="E7" s="45" t="s">
        <v>38</v>
      </c>
    </row>
    <row r="8" spans="1:20">
      <c r="C8" s="43" t="s">
        <v>39</v>
      </c>
      <c r="D8" s="44">
        <f>C51</f>
        <v>-2.5778583145877255E-2</v>
      </c>
      <c r="E8" s="147">
        <v>-0.74</v>
      </c>
      <c r="F8" s="38" t="s">
        <v>77</v>
      </c>
    </row>
    <row r="9" spans="1:20">
      <c r="C9" s="121" t="s">
        <v>21</v>
      </c>
      <c r="D9" s="44">
        <f>C72</f>
        <v>1.9027258810429548E-2</v>
      </c>
      <c r="E9" s="147">
        <v>-0.42</v>
      </c>
      <c r="F9" s="38" t="s">
        <v>77</v>
      </c>
    </row>
    <row r="10" spans="1:20">
      <c r="C10" s="43" t="s">
        <v>40</v>
      </c>
      <c r="D10" s="44">
        <f>C93</f>
        <v>2.5806640337829295E-2</v>
      </c>
      <c r="E10" s="147">
        <v>0.36</v>
      </c>
      <c r="F10" s="38" t="s">
        <v>77</v>
      </c>
      <c r="J10" s="154"/>
    </row>
    <row r="12" spans="1:20" s="46" customFormat="1" ht="16">
      <c r="B12" s="46" t="str">
        <f>"IRR calculation ("&amp;currency&amp;")"</f>
        <v>IRR calculation ('000 IDR)</v>
      </c>
    </row>
    <row r="13" spans="1:20">
      <c r="A13" s="47"/>
      <c r="B13" s="148" t="s">
        <v>41</v>
      </c>
      <c r="C13" s="78"/>
      <c r="D13" s="49">
        <v>-1</v>
      </c>
      <c r="E13" s="49">
        <f t="shared" ref="E13:T13" si="0">D13+1</f>
        <v>0</v>
      </c>
      <c r="F13" s="80">
        <f t="shared" si="0"/>
        <v>1</v>
      </c>
      <c r="G13" s="49">
        <f t="shared" si="0"/>
        <v>2</v>
      </c>
      <c r="H13" s="49">
        <f t="shared" si="0"/>
        <v>3</v>
      </c>
      <c r="I13" s="49">
        <f t="shared" si="0"/>
        <v>4</v>
      </c>
      <c r="J13" s="49">
        <f t="shared" si="0"/>
        <v>5</v>
      </c>
      <c r="K13" s="49">
        <f t="shared" si="0"/>
        <v>6</v>
      </c>
      <c r="L13" s="49">
        <f t="shared" si="0"/>
        <v>7</v>
      </c>
      <c r="M13" s="49">
        <f t="shared" si="0"/>
        <v>8</v>
      </c>
      <c r="N13" s="49">
        <f t="shared" si="0"/>
        <v>9</v>
      </c>
      <c r="O13" s="49">
        <f t="shared" si="0"/>
        <v>10</v>
      </c>
      <c r="P13" s="49">
        <f t="shared" si="0"/>
        <v>11</v>
      </c>
      <c r="Q13" s="49">
        <f t="shared" si="0"/>
        <v>12</v>
      </c>
      <c r="R13" s="49">
        <f t="shared" si="0"/>
        <v>13</v>
      </c>
      <c r="S13" s="49">
        <f t="shared" si="0"/>
        <v>14</v>
      </c>
      <c r="T13" s="49">
        <f t="shared" si="0"/>
        <v>15</v>
      </c>
    </row>
    <row r="14" spans="1:20">
      <c r="A14" s="50" t="s">
        <v>54</v>
      </c>
      <c r="B14" s="48"/>
      <c r="C14" s="48"/>
      <c r="D14" s="51"/>
      <c r="E14" s="51"/>
      <c r="F14" s="52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</row>
    <row r="15" spans="1:20" ht="13" customHeight="1">
      <c r="A15" s="53"/>
      <c r="B15" s="79" t="s">
        <v>83</v>
      </c>
      <c r="C15" s="54"/>
      <c r="D15" s="55"/>
      <c r="E15" s="55"/>
      <c r="F15" s="81">
        <f>IF(F13&lt;&gt;"",'IRR input'!$D$22*'IRR input'!$D$25*(1+inflation)^'IRR input'!$G$25,0)</f>
        <v>3420000</v>
      </c>
      <c r="G15" s="55">
        <f t="shared" ref="G15:T15" si="1">IF(G$13&lt;&gt;"",F15*(1+inflation),0)</f>
        <v>3635460</v>
      </c>
      <c r="H15" s="55">
        <f t="shared" si="1"/>
        <v>3864493.98</v>
      </c>
      <c r="I15" s="55">
        <f t="shared" si="1"/>
        <v>4107957.1007399997</v>
      </c>
      <c r="J15" s="55">
        <f t="shared" si="1"/>
        <v>4366758.3980866196</v>
      </c>
      <c r="K15" s="55">
        <f t="shared" si="1"/>
        <v>4641864.1771660764</v>
      </c>
      <c r="L15" s="55">
        <f t="shared" si="1"/>
        <v>4934301.6203275388</v>
      </c>
      <c r="M15" s="55">
        <f t="shared" si="1"/>
        <v>5245162.622408173</v>
      </c>
      <c r="N15" s="55">
        <f t="shared" si="1"/>
        <v>5575607.8676198879</v>
      </c>
      <c r="O15" s="55">
        <f t="shared" si="1"/>
        <v>5926871.1632799404</v>
      </c>
      <c r="P15" s="55">
        <f t="shared" si="1"/>
        <v>6300264.0465665767</v>
      </c>
      <c r="Q15" s="55">
        <f t="shared" si="1"/>
        <v>6697180.681500271</v>
      </c>
      <c r="R15" s="55">
        <f t="shared" si="1"/>
        <v>7119103.0644347873</v>
      </c>
      <c r="S15" s="55">
        <f t="shared" si="1"/>
        <v>7567606.5574941784</v>
      </c>
      <c r="T15" s="55">
        <f t="shared" si="1"/>
        <v>8044365.7706163116</v>
      </c>
    </row>
    <row r="16" spans="1:20">
      <c r="A16" s="53"/>
      <c r="B16" s="105" t="str">
        <f>'IRR input'!B33</f>
        <v>[Other revenues]</v>
      </c>
      <c r="C16" s="54">
        <f>1+inflation</f>
        <v>1.0629999999999999</v>
      </c>
      <c r="D16" s="55"/>
      <c r="E16" s="55"/>
      <c r="F16" s="57">
        <f>'IRR input'!D33</f>
        <v>0</v>
      </c>
      <c r="G16" s="58">
        <f>F16*$C$16</f>
        <v>0</v>
      </c>
      <c r="H16" s="58">
        <f t="shared" ref="H16:T16" si="2">G16*$C$16</f>
        <v>0</v>
      </c>
      <c r="I16" s="58">
        <f t="shared" si="2"/>
        <v>0</v>
      </c>
      <c r="J16" s="58">
        <f t="shared" si="2"/>
        <v>0</v>
      </c>
      <c r="K16" s="58">
        <f t="shared" si="2"/>
        <v>0</v>
      </c>
      <c r="L16" s="58">
        <f t="shared" si="2"/>
        <v>0</v>
      </c>
      <c r="M16" s="58">
        <f t="shared" si="2"/>
        <v>0</v>
      </c>
      <c r="N16" s="58">
        <f t="shared" si="2"/>
        <v>0</v>
      </c>
      <c r="O16" s="58">
        <f t="shared" si="2"/>
        <v>0</v>
      </c>
      <c r="P16" s="58">
        <f t="shared" si="2"/>
        <v>0</v>
      </c>
      <c r="Q16" s="58">
        <f t="shared" si="2"/>
        <v>0</v>
      </c>
      <c r="R16" s="58">
        <f t="shared" si="2"/>
        <v>0</v>
      </c>
      <c r="S16" s="58">
        <f t="shared" si="2"/>
        <v>0</v>
      </c>
      <c r="T16" s="58">
        <f t="shared" si="2"/>
        <v>0</v>
      </c>
    </row>
    <row r="17" spans="1:20">
      <c r="A17" s="59" t="s">
        <v>55</v>
      </c>
      <c r="B17" s="60"/>
      <c r="C17" s="60"/>
      <c r="D17" s="61"/>
      <c r="E17" s="61"/>
      <c r="F17" s="62">
        <f t="shared" ref="F17:T17" si="3">SUM(F15:F16)</f>
        <v>3420000</v>
      </c>
      <c r="G17" s="63">
        <f t="shared" si="3"/>
        <v>3635460</v>
      </c>
      <c r="H17" s="63">
        <f t="shared" si="3"/>
        <v>3864493.98</v>
      </c>
      <c r="I17" s="63">
        <f t="shared" si="3"/>
        <v>4107957.1007399997</v>
      </c>
      <c r="J17" s="63">
        <f t="shared" si="3"/>
        <v>4366758.3980866196</v>
      </c>
      <c r="K17" s="63">
        <f t="shared" si="3"/>
        <v>4641864.1771660764</v>
      </c>
      <c r="L17" s="63">
        <f t="shared" si="3"/>
        <v>4934301.6203275388</v>
      </c>
      <c r="M17" s="63">
        <f t="shared" si="3"/>
        <v>5245162.622408173</v>
      </c>
      <c r="N17" s="63">
        <f t="shared" si="3"/>
        <v>5575607.8676198879</v>
      </c>
      <c r="O17" s="63">
        <f t="shared" si="3"/>
        <v>5926871.1632799404</v>
      </c>
      <c r="P17" s="63">
        <f t="shared" si="3"/>
        <v>6300264.0465665767</v>
      </c>
      <c r="Q17" s="63">
        <f t="shared" si="3"/>
        <v>6697180.681500271</v>
      </c>
      <c r="R17" s="63">
        <f t="shared" si="3"/>
        <v>7119103.0644347873</v>
      </c>
      <c r="S17" s="63">
        <f t="shared" si="3"/>
        <v>7567606.5574941784</v>
      </c>
      <c r="T17" s="63">
        <f t="shared" si="3"/>
        <v>8044365.7706163116</v>
      </c>
    </row>
    <row r="18" spans="1:20" s="68" customFormat="1" ht="15" customHeight="1">
      <c r="A18" s="64" t="s">
        <v>42</v>
      </c>
      <c r="B18" s="65"/>
      <c r="C18" s="65"/>
      <c r="D18" s="66"/>
      <c r="E18" s="66"/>
      <c r="F18" s="57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</row>
    <row r="19" spans="1:20">
      <c r="A19" s="50" t="s">
        <v>71</v>
      </c>
      <c r="B19" s="48"/>
      <c r="C19" s="48"/>
      <c r="D19" s="51"/>
      <c r="E19" s="51"/>
      <c r="F19" s="52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</row>
    <row r="20" spans="1:20">
      <c r="A20" s="53"/>
      <c r="B20" s="54" t="s">
        <v>73</v>
      </c>
      <c r="C20" s="54"/>
      <c r="D20" s="69">
        <f>'IRR input'!$D$32</f>
        <v>0</v>
      </c>
      <c r="E20" s="69">
        <f>'IRR input'!$D$31</f>
        <v>14823375</v>
      </c>
      <c r="F20" s="56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</row>
    <row r="21" spans="1:20">
      <c r="A21" s="59" t="s">
        <v>72</v>
      </c>
      <c r="B21" s="60"/>
      <c r="C21" s="60"/>
      <c r="D21" s="63">
        <f>SUM(D20:D20)</f>
        <v>0</v>
      </c>
      <c r="E21" s="63">
        <f>SUM(E20:E20)</f>
        <v>14823375</v>
      </c>
      <c r="F21" s="70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</row>
    <row r="22" spans="1:20">
      <c r="A22" s="50" t="s">
        <v>52</v>
      </c>
      <c r="B22" s="48"/>
      <c r="C22" s="48"/>
      <c r="D22" s="51"/>
      <c r="E22" s="51"/>
      <c r="F22" s="52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</row>
    <row r="23" spans="1:20">
      <c r="A23" s="53"/>
      <c r="B23" s="54" t="s">
        <v>53</v>
      </c>
      <c r="C23" s="54"/>
      <c r="D23" s="55"/>
      <c r="E23" s="55"/>
      <c r="F23" s="56">
        <f>IF(F13&lt;&gt;"",'IRR input'!$D$34*(1+inflation)^'IRR input'!$G$34,0)</f>
        <v>2981240</v>
      </c>
      <c r="G23" s="55">
        <f t="shared" ref="G23:T23" si="4">IF(G$13&lt;&gt;"",F23*(1+inflation),0)</f>
        <v>3169058.1199999996</v>
      </c>
      <c r="H23" s="55">
        <f t="shared" si="4"/>
        <v>3368708.7815599996</v>
      </c>
      <c r="I23" s="55">
        <f t="shared" si="4"/>
        <v>3580937.4347982793</v>
      </c>
      <c r="J23" s="55">
        <f t="shared" si="4"/>
        <v>3806536.4931905707</v>
      </c>
      <c r="K23" s="55">
        <f t="shared" si="4"/>
        <v>4046348.2922615763</v>
      </c>
      <c r="L23" s="55">
        <f t="shared" si="4"/>
        <v>4301268.2346740551</v>
      </c>
      <c r="M23" s="55">
        <f t="shared" si="4"/>
        <v>4572248.1334585203</v>
      </c>
      <c r="N23" s="55">
        <f t="shared" si="4"/>
        <v>4860299.7658664072</v>
      </c>
      <c r="O23" s="55">
        <f t="shared" si="4"/>
        <v>5166498.6511159902</v>
      </c>
      <c r="P23" s="55">
        <f t="shared" si="4"/>
        <v>5491988.0661362978</v>
      </c>
      <c r="Q23" s="55">
        <f t="shared" si="4"/>
        <v>5837983.314302884</v>
      </c>
      <c r="R23" s="55">
        <f t="shared" si="4"/>
        <v>6205776.2631039657</v>
      </c>
      <c r="S23" s="55">
        <f t="shared" si="4"/>
        <v>6596740.1676795147</v>
      </c>
      <c r="T23" s="55">
        <f t="shared" si="4"/>
        <v>7012334.7982433233</v>
      </c>
    </row>
    <row r="24" spans="1:20">
      <c r="A24" s="53"/>
      <c r="B24" s="105" t="str">
        <f>'IRR input'!B35</f>
        <v>[Other operating expenditure]</v>
      </c>
      <c r="C24" s="54"/>
      <c r="D24" s="55"/>
      <c r="E24" s="55"/>
      <c r="F24" s="56">
        <f>IF(F13&lt;&gt;"",'IRR input'!$D$35*(1+inflation)^'IRR input'!$G$35,0)</f>
        <v>0</v>
      </c>
      <c r="G24" s="55">
        <f t="shared" ref="G24:T24" si="5">IF(G$13&lt;&gt;"",F24*(1+inflation),0)</f>
        <v>0</v>
      </c>
      <c r="H24" s="55">
        <f t="shared" si="5"/>
        <v>0</v>
      </c>
      <c r="I24" s="55">
        <f t="shared" si="5"/>
        <v>0</v>
      </c>
      <c r="J24" s="55">
        <f t="shared" si="5"/>
        <v>0</v>
      </c>
      <c r="K24" s="55">
        <f t="shared" si="5"/>
        <v>0</v>
      </c>
      <c r="L24" s="55">
        <f t="shared" si="5"/>
        <v>0</v>
      </c>
      <c r="M24" s="55">
        <f t="shared" si="5"/>
        <v>0</v>
      </c>
      <c r="N24" s="55">
        <f t="shared" si="5"/>
        <v>0</v>
      </c>
      <c r="O24" s="55">
        <f t="shared" si="5"/>
        <v>0</v>
      </c>
      <c r="P24" s="55">
        <f t="shared" si="5"/>
        <v>0</v>
      </c>
      <c r="Q24" s="55">
        <f t="shared" si="5"/>
        <v>0</v>
      </c>
      <c r="R24" s="55">
        <f t="shared" si="5"/>
        <v>0</v>
      </c>
      <c r="S24" s="55">
        <f t="shared" si="5"/>
        <v>0</v>
      </c>
      <c r="T24" s="55">
        <f t="shared" si="5"/>
        <v>0</v>
      </c>
    </row>
    <row r="25" spans="1:20">
      <c r="A25" s="59" t="s">
        <v>51</v>
      </c>
      <c r="B25" s="60"/>
      <c r="C25" s="60"/>
      <c r="D25" s="61"/>
      <c r="E25" s="61"/>
      <c r="F25" s="62">
        <f t="shared" ref="F25:T25" si="6">SUM(F23:F24)</f>
        <v>2981240</v>
      </c>
      <c r="G25" s="63">
        <f t="shared" si="6"/>
        <v>3169058.1199999996</v>
      </c>
      <c r="H25" s="63">
        <f t="shared" si="6"/>
        <v>3368708.7815599996</v>
      </c>
      <c r="I25" s="63">
        <f t="shared" si="6"/>
        <v>3580937.4347982793</v>
      </c>
      <c r="J25" s="63">
        <f t="shared" si="6"/>
        <v>3806536.4931905707</v>
      </c>
      <c r="K25" s="63">
        <f t="shared" si="6"/>
        <v>4046348.2922615763</v>
      </c>
      <c r="L25" s="63">
        <f t="shared" si="6"/>
        <v>4301268.2346740551</v>
      </c>
      <c r="M25" s="63">
        <f t="shared" si="6"/>
        <v>4572248.1334585203</v>
      </c>
      <c r="N25" s="63">
        <f t="shared" si="6"/>
        <v>4860299.7658664072</v>
      </c>
      <c r="O25" s="63">
        <f t="shared" si="6"/>
        <v>5166498.6511159902</v>
      </c>
      <c r="P25" s="63">
        <f t="shared" si="6"/>
        <v>5491988.0661362978</v>
      </c>
      <c r="Q25" s="63">
        <f t="shared" si="6"/>
        <v>5837983.314302884</v>
      </c>
      <c r="R25" s="63">
        <f t="shared" si="6"/>
        <v>6205776.2631039657</v>
      </c>
      <c r="S25" s="63">
        <f t="shared" si="6"/>
        <v>6596740.1676795147</v>
      </c>
      <c r="T25" s="63">
        <f t="shared" si="6"/>
        <v>7012334.7982433233</v>
      </c>
    </row>
    <row r="26" spans="1:20" ht="15" customHeight="1">
      <c r="A26" s="50" t="s">
        <v>43</v>
      </c>
      <c r="B26" s="48"/>
      <c r="C26" s="48"/>
      <c r="D26" s="51"/>
      <c r="E26" s="51"/>
      <c r="F26" s="52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</row>
    <row r="27" spans="1:20">
      <c r="A27" s="53"/>
      <c r="B27" s="105" t="str">
        <f>'IRR input'!B36</f>
        <v>Insurance</v>
      </c>
      <c r="C27" s="54"/>
      <c r="D27" s="55"/>
      <c r="E27" s="55"/>
      <c r="F27" s="71">
        <f>IF(F13&lt;&gt;"",SUM($D$21:$F$21)*'IRR input'!$D$36,0)</f>
        <v>0</v>
      </c>
      <c r="G27" s="72">
        <f>IF(G13&lt;&gt;"",SUM($D$21:$F$21)*'IRR input'!$D$36,0)</f>
        <v>0</v>
      </c>
      <c r="H27" s="72">
        <f>IF(H13&lt;&gt;"",SUM($D$21:$F$21)*'IRR input'!$D$36,0)</f>
        <v>0</v>
      </c>
      <c r="I27" s="72">
        <f>IF(I13&lt;&gt;"",SUM($D$21:$F$21)*'IRR input'!$D$36,0)</f>
        <v>0</v>
      </c>
      <c r="J27" s="72">
        <f>IF(J13&lt;&gt;"",SUM($D$21:$F$21)*'IRR input'!$D$36,0)</f>
        <v>0</v>
      </c>
      <c r="K27" s="72">
        <f>IF(K13&lt;&gt;"",SUM($D$21:$F$21)*'IRR input'!$D$36,0)</f>
        <v>0</v>
      </c>
      <c r="L27" s="72">
        <f>IF(L13&lt;&gt;"",SUM($D$21:$F$21)*'IRR input'!$D$36,0)</f>
        <v>0</v>
      </c>
      <c r="M27" s="72">
        <f>IF(M13&lt;&gt;"",SUM($D$21:$F$21)*'IRR input'!$D$36,0)</f>
        <v>0</v>
      </c>
      <c r="N27" s="72">
        <f>IF(N13&lt;&gt;"",SUM($D$21:$F$21)*'IRR input'!$D$36,0)</f>
        <v>0</v>
      </c>
      <c r="O27" s="72">
        <f>IF(O13&lt;&gt;"",SUM($D$21:$F$21)*'IRR input'!$D$36,0)</f>
        <v>0</v>
      </c>
      <c r="P27" s="72">
        <f>IF(P13&lt;&gt;"",SUM($D$21:$F$21)*'IRR input'!$D$36,0)</f>
        <v>0</v>
      </c>
      <c r="Q27" s="72">
        <f>IF(Q13&lt;&gt;"",SUM($D$21:$F$21)*'IRR input'!$D$36,0)</f>
        <v>0</v>
      </c>
      <c r="R27" s="72">
        <f>IF(R13&lt;&gt;"",SUM($D$21:$F$21)*'IRR input'!$D$36,0)</f>
        <v>0</v>
      </c>
      <c r="S27" s="72">
        <f>IF(S13&lt;&gt;"",SUM($D$21:$F$21)*'IRR input'!$D$36,0)</f>
        <v>0</v>
      </c>
      <c r="T27" s="72">
        <f>IF(T13&lt;&gt;"",SUM($D$21:$F$21)*'IRR input'!$D$36,0)</f>
        <v>0</v>
      </c>
    </row>
    <row r="28" spans="1:20">
      <c r="A28" s="145" t="s">
        <v>63</v>
      </c>
      <c r="B28" s="73"/>
      <c r="C28" s="73"/>
      <c r="D28" s="66">
        <f t="shared" ref="D28:T28" si="7">IF(D13&lt;&gt;"",D17+D18-D21-D25-D27,0)</f>
        <v>0</v>
      </c>
      <c r="E28" s="66">
        <f t="shared" si="7"/>
        <v>-14823375</v>
      </c>
      <c r="F28" s="67">
        <f>IF(F13&lt;&gt;"",F17+F18-F21-F25-F27,0)</f>
        <v>438760</v>
      </c>
      <c r="G28" s="66">
        <f t="shared" si="7"/>
        <v>466401.88000000035</v>
      </c>
      <c r="H28" s="66">
        <f t="shared" si="7"/>
        <v>495785.19844000041</v>
      </c>
      <c r="I28" s="66">
        <f t="shared" si="7"/>
        <v>527019.66594172036</v>
      </c>
      <c r="J28" s="66">
        <f t="shared" si="7"/>
        <v>560221.90489604883</v>
      </c>
      <c r="K28" s="66">
        <f t="shared" si="7"/>
        <v>595515.8849045001</v>
      </c>
      <c r="L28" s="66">
        <f t="shared" si="7"/>
        <v>633033.38565348368</v>
      </c>
      <c r="M28" s="66">
        <f t="shared" si="7"/>
        <v>672914.48894965276</v>
      </c>
      <c r="N28" s="66">
        <f t="shared" si="7"/>
        <v>715308.10175348073</v>
      </c>
      <c r="O28" s="66">
        <f t="shared" si="7"/>
        <v>760372.51216395013</v>
      </c>
      <c r="P28" s="66">
        <f t="shared" si="7"/>
        <v>808275.98043027893</v>
      </c>
      <c r="Q28" s="66">
        <f t="shared" si="7"/>
        <v>859197.36719738692</v>
      </c>
      <c r="R28" s="66">
        <f t="shared" si="7"/>
        <v>913326.80133082159</v>
      </c>
      <c r="S28" s="66">
        <f t="shared" si="7"/>
        <v>970866.38981466368</v>
      </c>
      <c r="T28" s="66">
        <f t="shared" si="7"/>
        <v>1032030.9723729882</v>
      </c>
    </row>
    <row r="29" spans="1:20" s="54" customFormat="1" ht="12" customHeight="1" thickBot="1">
      <c r="A29" s="68"/>
    </row>
    <row r="30" spans="1:20" s="54" customFormat="1" ht="14" thickBot="1">
      <c r="A30" s="146" t="s">
        <v>64</v>
      </c>
      <c r="B30" s="74"/>
      <c r="C30" s="75">
        <f>IRR(D28:T28,-0.1)</f>
        <v>-3.6329252840980701E-2</v>
      </c>
    </row>
    <row r="32" spans="1:20" s="46" customFormat="1" ht="16">
      <c r="A32" s="107" t="s">
        <v>18</v>
      </c>
    </row>
    <row r="33" spans="1:20" s="108" customFormat="1">
      <c r="A33" s="108" t="s">
        <v>19</v>
      </c>
      <c r="D33" s="108" t="s">
        <v>20</v>
      </c>
      <c r="E33" s="106">
        <v>-0.1</v>
      </c>
    </row>
    <row r="34" spans="1:20">
      <c r="A34" s="47"/>
      <c r="B34" s="48"/>
      <c r="C34" s="78"/>
      <c r="D34" s="49">
        <f>D13</f>
        <v>-1</v>
      </c>
      <c r="E34" s="49">
        <f t="shared" ref="E34:T34" si="8">E13</f>
        <v>0</v>
      </c>
      <c r="F34" s="49">
        <f t="shared" si="8"/>
        <v>1</v>
      </c>
      <c r="G34" s="49">
        <f t="shared" si="8"/>
        <v>2</v>
      </c>
      <c r="H34" s="49">
        <f t="shared" si="8"/>
        <v>3</v>
      </c>
      <c r="I34" s="49">
        <f t="shared" si="8"/>
        <v>4</v>
      </c>
      <c r="J34" s="49">
        <f t="shared" si="8"/>
        <v>5</v>
      </c>
      <c r="K34" s="49">
        <f t="shared" si="8"/>
        <v>6</v>
      </c>
      <c r="L34" s="49">
        <f t="shared" si="8"/>
        <v>7</v>
      </c>
      <c r="M34" s="49">
        <f t="shared" si="8"/>
        <v>8</v>
      </c>
      <c r="N34" s="49">
        <f t="shared" si="8"/>
        <v>9</v>
      </c>
      <c r="O34" s="49">
        <f t="shared" si="8"/>
        <v>10</v>
      </c>
      <c r="P34" s="49">
        <f t="shared" si="8"/>
        <v>11</v>
      </c>
      <c r="Q34" s="49">
        <f t="shared" si="8"/>
        <v>12</v>
      </c>
      <c r="R34" s="49">
        <f t="shared" si="8"/>
        <v>13</v>
      </c>
      <c r="S34" s="49">
        <f t="shared" si="8"/>
        <v>14</v>
      </c>
      <c r="T34" s="49">
        <f t="shared" si="8"/>
        <v>15</v>
      </c>
    </row>
    <row r="35" spans="1:20">
      <c r="A35" s="50" t="str">
        <f>A14</f>
        <v>Revenues</v>
      </c>
      <c r="B35" s="48"/>
      <c r="C35" s="48"/>
      <c r="D35" s="51"/>
      <c r="E35" s="51"/>
      <c r="F35" s="52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</row>
    <row r="36" spans="1:20" ht="13" customHeight="1">
      <c r="A36" s="53"/>
      <c r="B36" s="79" t="str">
        <f>B15</f>
        <v>Compost sale</v>
      </c>
      <c r="C36" s="54"/>
      <c r="D36" s="55"/>
      <c r="E36" s="55"/>
      <c r="F36" s="81">
        <f>IF(F34&lt;&gt;"",'IRR input'!$D$22*'IRR input'!$D$25*(1+inflation)^'IRR input'!$G$25,0)</f>
        <v>3420000</v>
      </c>
      <c r="G36" s="55">
        <f t="shared" ref="G36:T36" si="9">IF(G$13&lt;&gt;"",F36*(1+inflation),0)</f>
        <v>3635460</v>
      </c>
      <c r="H36" s="55">
        <f t="shared" si="9"/>
        <v>3864493.98</v>
      </c>
      <c r="I36" s="55">
        <f t="shared" si="9"/>
        <v>4107957.1007399997</v>
      </c>
      <c r="J36" s="55">
        <f t="shared" si="9"/>
        <v>4366758.3980866196</v>
      </c>
      <c r="K36" s="55">
        <f t="shared" si="9"/>
        <v>4641864.1771660764</v>
      </c>
      <c r="L36" s="55">
        <f t="shared" si="9"/>
        <v>4934301.6203275388</v>
      </c>
      <c r="M36" s="55">
        <f t="shared" si="9"/>
        <v>5245162.622408173</v>
      </c>
      <c r="N36" s="55">
        <f t="shared" si="9"/>
        <v>5575607.8676198879</v>
      </c>
      <c r="O36" s="55">
        <f t="shared" si="9"/>
        <v>5926871.1632799404</v>
      </c>
      <c r="P36" s="55">
        <f t="shared" si="9"/>
        <v>6300264.0465665767</v>
      </c>
      <c r="Q36" s="55">
        <f t="shared" si="9"/>
        <v>6697180.681500271</v>
      </c>
      <c r="R36" s="55">
        <f t="shared" si="9"/>
        <v>7119103.0644347873</v>
      </c>
      <c r="S36" s="55">
        <f t="shared" si="9"/>
        <v>7567606.5574941784</v>
      </c>
      <c r="T36" s="55">
        <f t="shared" si="9"/>
        <v>8044365.7706163116</v>
      </c>
    </row>
    <row r="37" spans="1:20">
      <c r="A37" s="53"/>
      <c r="B37" s="105" t="str">
        <f>B16</f>
        <v>[Other revenues]</v>
      </c>
      <c r="C37" s="54"/>
      <c r="D37" s="55"/>
      <c r="E37" s="55"/>
      <c r="F37" s="56">
        <f>F$16</f>
        <v>0</v>
      </c>
      <c r="G37" s="55">
        <f t="shared" ref="G37:T39" si="10">G$16</f>
        <v>0</v>
      </c>
      <c r="H37" s="55">
        <f t="shared" si="10"/>
        <v>0</v>
      </c>
      <c r="I37" s="55">
        <f t="shared" si="10"/>
        <v>0</v>
      </c>
      <c r="J37" s="55">
        <f t="shared" si="10"/>
        <v>0</v>
      </c>
      <c r="K37" s="55">
        <f t="shared" si="10"/>
        <v>0</v>
      </c>
      <c r="L37" s="55">
        <f t="shared" si="10"/>
        <v>0</v>
      </c>
      <c r="M37" s="55">
        <f t="shared" si="10"/>
        <v>0</v>
      </c>
      <c r="N37" s="55">
        <f t="shared" si="10"/>
        <v>0</v>
      </c>
      <c r="O37" s="55">
        <f t="shared" si="10"/>
        <v>0</v>
      </c>
      <c r="P37" s="55">
        <f t="shared" si="10"/>
        <v>0</v>
      </c>
      <c r="Q37" s="55">
        <f t="shared" si="10"/>
        <v>0</v>
      </c>
      <c r="R37" s="55">
        <f t="shared" si="10"/>
        <v>0</v>
      </c>
      <c r="S37" s="55">
        <f t="shared" si="10"/>
        <v>0</v>
      </c>
      <c r="T37" s="55">
        <f t="shared" si="10"/>
        <v>0</v>
      </c>
    </row>
    <row r="38" spans="1:20">
      <c r="A38" s="59" t="str">
        <f>A17</f>
        <v>Total revenues</v>
      </c>
      <c r="B38" s="60"/>
      <c r="C38" s="60"/>
      <c r="D38" s="61"/>
      <c r="E38" s="61"/>
      <c r="F38" s="62">
        <f t="shared" ref="F38:T38" si="11">SUM(F36:F37)</f>
        <v>3420000</v>
      </c>
      <c r="G38" s="63">
        <f t="shared" si="11"/>
        <v>3635460</v>
      </c>
      <c r="H38" s="63">
        <f t="shared" si="11"/>
        <v>3864493.98</v>
      </c>
      <c r="I38" s="63">
        <f t="shared" si="11"/>
        <v>4107957.1007399997</v>
      </c>
      <c r="J38" s="63">
        <f t="shared" si="11"/>
        <v>4366758.3980866196</v>
      </c>
      <c r="K38" s="63">
        <f t="shared" si="11"/>
        <v>4641864.1771660764</v>
      </c>
      <c r="L38" s="63">
        <f t="shared" si="11"/>
        <v>4934301.6203275388</v>
      </c>
      <c r="M38" s="63">
        <f t="shared" si="11"/>
        <v>5245162.622408173</v>
      </c>
      <c r="N38" s="63">
        <f t="shared" si="11"/>
        <v>5575607.8676198879</v>
      </c>
      <c r="O38" s="63">
        <f t="shared" si="11"/>
        <v>5926871.1632799404</v>
      </c>
      <c r="P38" s="63">
        <f t="shared" si="11"/>
        <v>6300264.0465665767</v>
      </c>
      <c r="Q38" s="63">
        <f t="shared" si="11"/>
        <v>6697180.681500271</v>
      </c>
      <c r="R38" s="63">
        <f t="shared" si="11"/>
        <v>7119103.0644347873</v>
      </c>
      <c r="S38" s="63">
        <f t="shared" si="11"/>
        <v>7567606.5574941784</v>
      </c>
      <c r="T38" s="63">
        <f t="shared" si="11"/>
        <v>8044365.7706163116</v>
      </c>
    </row>
    <row r="39" spans="1:20" s="68" customFormat="1" ht="15" customHeight="1">
      <c r="A39" s="64" t="str">
        <f>A18</f>
        <v>Residual asset income</v>
      </c>
      <c r="B39" s="65"/>
      <c r="C39" s="65"/>
      <c r="D39" s="66"/>
      <c r="E39" s="66"/>
      <c r="F39" s="56">
        <f>F$16</f>
        <v>0</v>
      </c>
      <c r="G39" s="55">
        <f t="shared" si="10"/>
        <v>0</v>
      </c>
      <c r="H39" s="55">
        <f t="shared" si="10"/>
        <v>0</v>
      </c>
      <c r="I39" s="55">
        <f t="shared" si="10"/>
        <v>0</v>
      </c>
      <c r="J39" s="55">
        <f t="shared" si="10"/>
        <v>0</v>
      </c>
      <c r="K39" s="55">
        <f t="shared" si="10"/>
        <v>0</v>
      </c>
      <c r="L39" s="55">
        <f t="shared" si="10"/>
        <v>0</v>
      </c>
      <c r="M39" s="55">
        <f t="shared" si="10"/>
        <v>0</v>
      </c>
      <c r="N39" s="55">
        <f t="shared" si="10"/>
        <v>0</v>
      </c>
      <c r="O39" s="55">
        <f t="shared" si="10"/>
        <v>0</v>
      </c>
      <c r="P39" s="55">
        <f t="shared" si="10"/>
        <v>0</v>
      </c>
      <c r="Q39" s="55">
        <f t="shared" si="10"/>
        <v>0</v>
      </c>
      <c r="R39" s="55">
        <f t="shared" si="10"/>
        <v>0</v>
      </c>
      <c r="S39" s="55">
        <f t="shared" si="10"/>
        <v>0</v>
      </c>
      <c r="T39" s="55">
        <f t="shared" si="10"/>
        <v>0</v>
      </c>
    </row>
    <row r="40" spans="1:20">
      <c r="A40" s="50" t="str">
        <f>A19</f>
        <v xml:space="preserve">Investment </v>
      </c>
      <c r="B40" s="48"/>
      <c r="C40" s="48"/>
      <c r="D40" s="51"/>
      <c r="E40" s="51"/>
      <c r="F40" s="52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</row>
    <row r="41" spans="1:20" s="116" customFormat="1">
      <c r="A41" s="114"/>
      <c r="B41" s="115" t="str">
        <f>B20</f>
        <v>Capital expenditure</v>
      </c>
      <c r="C41" s="115"/>
      <c r="D41" s="111">
        <f>'IRR input'!$D$32*(1+$E$33)</f>
        <v>0</v>
      </c>
      <c r="E41" s="111">
        <f>'IRR input'!$D$31*(1+$E$33)</f>
        <v>13341037.5</v>
      </c>
      <c r="F41" s="112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</row>
    <row r="42" spans="1:20">
      <c r="A42" s="59" t="str">
        <f>A21</f>
        <v>Total investment</v>
      </c>
      <c r="B42" s="60"/>
      <c r="C42" s="60"/>
      <c r="D42" s="63">
        <f>SUM(D41:D41)</f>
        <v>0</v>
      </c>
      <c r="E42" s="63">
        <f>SUM(E41:E41)</f>
        <v>13341037.5</v>
      </c>
      <c r="F42" s="70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</row>
    <row r="43" spans="1:20">
      <c r="A43" s="50" t="str">
        <f>A22</f>
        <v>Operating expenses</v>
      </c>
      <c r="B43" s="48"/>
      <c r="C43" s="48"/>
      <c r="D43" s="51"/>
      <c r="E43" s="51"/>
      <c r="F43" s="52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</row>
    <row r="44" spans="1:20">
      <c r="A44" s="53"/>
      <c r="B44" s="54" t="str">
        <f>B23</f>
        <v>Operation &amp; maintenance</v>
      </c>
      <c r="C44" s="54"/>
      <c r="D44" s="55"/>
      <c r="E44" s="55"/>
      <c r="F44" s="56">
        <f>IF(F34&lt;&gt;"",'IRR input'!$D$34*(1+inflation)^'IRR input'!$G$34,0)</f>
        <v>2981240</v>
      </c>
      <c r="G44" s="55">
        <f t="shared" ref="G44:T44" si="12">IF(G$13&lt;&gt;"",F44*(1+inflation),0)</f>
        <v>3169058.1199999996</v>
      </c>
      <c r="H44" s="55">
        <f t="shared" si="12"/>
        <v>3368708.7815599996</v>
      </c>
      <c r="I44" s="55">
        <f t="shared" si="12"/>
        <v>3580937.4347982793</v>
      </c>
      <c r="J44" s="55">
        <f t="shared" si="12"/>
        <v>3806536.4931905707</v>
      </c>
      <c r="K44" s="55">
        <f t="shared" si="12"/>
        <v>4046348.2922615763</v>
      </c>
      <c r="L44" s="55">
        <f t="shared" si="12"/>
        <v>4301268.2346740551</v>
      </c>
      <c r="M44" s="55">
        <f t="shared" si="12"/>
        <v>4572248.1334585203</v>
      </c>
      <c r="N44" s="55">
        <f t="shared" si="12"/>
        <v>4860299.7658664072</v>
      </c>
      <c r="O44" s="55">
        <f t="shared" si="12"/>
        <v>5166498.6511159902</v>
      </c>
      <c r="P44" s="55">
        <f t="shared" si="12"/>
        <v>5491988.0661362978</v>
      </c>
      <c r="Q44" s="55">
        <f t="shared" si="12"/>
        <v>5837983.314302884</v>
      </c>
      <c r="R44" s="55">
        <f t="shared" si="12"/>
        <v>6205776.2631039657</v>
      </c>
      <c r="S44" s="55">
        <f t="shared" si="12"/>
        <v>6596740.1676795147</v>
      </c>
      <c r="T44" s="55">
        <f t="shared" si="12"/>
        <v>7012334.7982433233</v>
      </c>
    </row>
    <row r="45" spans="1:20">
      <c r="A45" s="53"/>
      <c r="B45" s="105" t="str">
        <f>B24</f>
        <v>[Other operating expenditure]</v>
      </c>
      <c r="C45" s="54"/>
      <c r="D45" s="55"/>
      <c r="E45" s="55"/>
      <c r="F45" s="56">
        <f>IF(F34&lt;&gt;"",'IRR input'!$D$35*(1+inflation)^'IRR input'!$G$35,0)</f>
        <v>0</v>
      </c>
      <c r="G45" s="55">
        <f t="shared" ref="G45:T45" si="13">IF(G$13&lt;&gt;"",F45*(1+inflation),0)</f>
        <v>0</v>
      </c>
      <c r="H45" s="55">
        <f t="shared" si="13"/>
        <v>0</v>
      </c>
      <c r="I45" s="55">
        <f t="shared" si="13"/>
        <v>0</v>
      </c>
      <c r="J45" s="55">
        <f t="shared" si="13"/>
        <v>0</v>
      </c>
      <c r="K45" s="55">
        <f t="shared" si="13"/>
        <v>0</v>
      </c>
      <c r="L45" s="55">
        <f t="shared" si="13"/>
        <v>0</v>
      </c>
      <c r="M45" s="55">
        <f t="shared" si="13"/>
        <v>0</v>
      </c>
      <c r="N45" s="55">
        <f t="shared" si="13"/>
        <v>0</v>
      </c>
      <c r="O45" s="55">
        <f t="shared" si="13"/>
        <v>0</v>
      </c>
      <c r="P45" s="55">
        <f t="shared" si="13"/>
        <v>0</v>
      </c>
      <c r="Q45" s="55">
        <f t="shared" si="13"/>
        <v>0</v>
      </c>
      <c r="R45" s="55">
        <f t="shared" si="13"/>
        <v>0</v>
      </c>
      <c r="S45" s="55">
        <f t="shared" si="13"/>
        <v>0</v>
      </c>
      <c r="T45" s="55">
        <f t="shared" si="13"/>
        <v>0</v>
      </c>
    </row>
    <row r="46" spans="1:20">
      <c r="A46" s="59" t="str">
        <f>A25</f>
        <v>Total operating expenses</v>
      </c>
      <c r="B46" s="60"/>
      <c r="C46" s="60"/>
      <c r="D46" s="61"/>
      <c r="E46" s="61"/>
      <c r="F46" s="62">
        <f t="shared" ref="F46:T46" si="14">SUM(F44:F45)</f>
        <v>2981240</v>
      </c>
      <c r="G46" s="63">
        <f t="shared" si="14"/>
        <v>3169058.1199999996</v>
      </c>
      <c r="H46" s="63">
        <f t="shared" si="14"/>
        <v>3368708.7815599996</v>
      </c>
      <c r="I46" s="63">
        <f t="shared" si="14"/>
        <v>3580937.4347982793</v>
      </c>
      <c r="J46" s="63">
        <f t="shared" si="14"/>
        <v>3806536.4931905707</v>
      </c>
      <c r="K46" s="63">
        <f t="shared" si="14"/>
        <v>4046348.2922615763</v>
      </c>
      <c r="L46" s="63">
        <f t="shared" si="14"/>
        <v>4301268.2346740551</v>
      </c>
      <c r="M46" s="63">
        <f t="shared" si="14"/>
        <v>4572248.1334585203</v>
      </c>
      <c r="N46" s="63">
        <f t="shared" si="14"/>
        <v>4860299.7658664072</v>
      </c>
      <c r="O46" s="63">
        <f t="shared" si="14"/>
        <v>5166498.6511159902</v>
      </c>
      <c r="P46" s="63">
        <f t="shared" si="14"/>
        <v>5491988.0661362978</v>
      </c>
      <c r="Q46" s="63">
        <f t="shared" si="14"/>
        <v>5837983.314302884</v>
      </c>
      <c r="R46" s="63">
        <f t="shared" si="14"/>
        <v>6205776.2631039657</v>
      </c>
      <c r="S46" s="63">
        <f t="shared" si="14"/>
        <v>6596740.1676795147</v>
      </c>
      <c r="T46" s="63">
        <f t="shared" si="14"/>
        <v>7012334.7982433233</v>
      </c>
    </row>
    <row r="47" spans="1:20" ht="15" customHeight="1">
      <c r="A47" s="50" t="str">
        <f>A26</f>
        <v>Insurance</v>
      </c>
      <c r="B47" s="48"/>
      <c r="C47" s="48"/>
      <c r="D47" s="51"/>
      <c r="E47" s="51"/>
      <c r="F47" s="52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</row>
    <row r="48" spans="1:20">
      <c r="A48" s="53"/>
      <c r="B48" s="105" t="str">
        <f>B27</f>
        <v>Insurance</v>
      </c>
      <c r="C48" s="54"/>
      <c r="D48" s="55"/>
      <c r="E48" s="55"/>
      <c r="F48" s="71">
        <f>IF(F34&lt;&gt;"",SUM($D$21:$F$21)*'IRR input'!$D$36,0)</f>
        <v>0</v>
      </c>
      <c r="G48" s="72">
        <f>IF(G34&lt;&gt;"",SUM($D$21:$F$21)*'IRR input'!$D$36,0)</f>
        <v>0</v>
      </c>
      <c r="H48" s="72">
        <f>IF(H34&lt;&gt;"",SUM($D$21:$F$21)*'IRR input'!$D$36,0)</f>
        <v>0</v>
      </c>
      <c r="I48" s="72">
        <f>IF(I34&lt;&gt;"",SUM($D$21:$F$21)*'IRR input'!$D$36,0)</f>
        <v>0</v>
      </c>
      <c r="J48" s="72">
        <f>IF(J34&lt;&gt;"",SUM($D$21:$F$21)*'IRR input'!$D$36,0)</f>
        <v>0</v>
      </c>
      <c r="K48" s="72">
        <f>IF(K34&lt;&gt;"",SUM($D$21:$F$21)*'IRR input'!$D$36,0)</f>
        <v>0</v>
      </c>
      <c r="L48" s="72">
        <f>IF(L34&lt;&gt;"",SUM($D$21:$F$21)*'IRR input'!$D$36,0)</f>
        <v>0</v>
      </c>
      <c r="M48" s="72">
        <f>IF(M34&lt;&gt;"",SUM($D$21:$F$21)*'IRR input'!$D$36,0)</f>
        <v>0</v>
      </c>
      <c r="N48" s="72">
        <f>IF(N34&lt;&gt;"",SUM($D$21:$F$21)*'IRR input'!$D$36,0)</f>
        <v>0</v>
      </c>
      <c r="O48" s="72">
        <f>IF(O34&lt;&gt;"",SUM($D$21:$F$21)*'IRR input'!$D$36,0)</f>
        <v>0</v>
      </c>
      <c r="P48" s="72">
        <f>IF(P34&lt;&gt;"",SUM($D$21:$F$21)*'IRR input'!$D$36,0)</f>
        <v>0</v>
      </c>
      <c r="Q48" s="72">
        <f>IF(Q34&lt;&gt;"",SUM($D$21:$F$21)*'IRR input'!$D$36,0)</f>
        <v>0</v>
      </c>
      <c r="R48" s="72">
        <f>IF(R34&lt;&gt;"",SUM($D$21:$F$21)*'IRR input'!$D$36,0)</f>
        <v>0</v>
      </c>
      <c r="S48" s="72">
        <f>IF(S34&lt;&gt;"",SUM($D$21:$F$21)*'IRR input'!$D$36,0)</f>
        <v>0</v>
      </c>
      <c r="T48" s="72">
        <f>IF(T34&lt;&gt;"",SUM($D$21:$F$21)*'IRR input'!$D$36,0)</f>
        <v>0</v>
      </c>
    </row>
    <row r="49" spans="1:20">
      <c r="A49" s="145" t="s">
        <v>63</v>
      </c>
      <c r="B49" s="73"/>
      <c r="C49" s="73"/>
      <c r="D49" s="66">
        <f t="shared" ref="D49:T49" si="15">IF(D34&lt;&gt;"",D38+D39-D42-D46-D48,0)</f>
        <v>0</v>
      </c>
      <c r="E49" s="66">
        <f t="shared" si="15"/>
        <v>-13341037.5</v>
      </c>
      <c r="F49" s="67">
        <f t="shared" si="15"/>
        <v>438760</v>
      </c>
      <c r="G49" s="66">
        <f t="shared" si="15"/>
        <v>466401.88000000035</v>
      </c>
      <c r="H49" s="66">
        <f t="shared" si="15"/>
        <v>495785.19844000041</v>
      </c>
      <c r="I49" s="66">
        <f t="shared" si="15"/>
        <v>527019.66594172036</v>
      </c>
      <c r="J49" s="66">
        <f t="shared" si="15"/>
        <v>560221.90489604883</v>
      </c>
      <c r="K49" s="66">
        <f t="shared" si="15"/>
        <v>595515.8849045001</v>
      </c>
      <c r="L49" s="66">
        <f t="shared" si="15"/>
        <v>633033.38565348368</v>
      </c>
      <c r="M49" s="66">
        <f t="shared" si="15"/>
        <v>672914.48894965276</v>
      </c>
      <c r="N49" s="66">
        <f t="shared" si="15"/>
        <v>715308.10175348073</v>
      </c>
      <c r="O49" s="66">
        <f t="shared" si="15"/>
        <v>760372.51216395013</v>
      </c>
      <c r="P49" s="66">
        <f t="shared" si="15"/>
        <v>808275.98043027893</v>
      </c>
      <c r="Q49" s="66">
        <f t="shared" si="15"/>
        <v>859197.36719738692</v>
      </c>
      <c r="R49" s="66">
        <f t="shared" si="15"/>
        <v>913326.80133082159</v>
      </c>
      <c r="S49" s="66">
        <f t="shared" si="15"/>
        <v>970866.38981466368</v>
      </c>
      <c r="T49" s="66">
        <f t="shared" si="15"/>
        <v>1032030.9723729882</v>
      </c>
    </row>
    <row r="50" spans="1:20" s="54" customFormat="1" ht="12" customHeight="1" thickBot="1">
      <c r="A50" s="68"/>
    </row>
    <row r="51" spans="1:20" s="54" customFormat="1" ht="14" thickBot="1">
      <c r="A51" s="146" t="s">
        <v>64</v>
      </c>
      <c r="B51" s="74"/>
      <c r="C51" s="75">
        <f>IRR(D49:T49,-0.05)</f>
        <v>-2.5778583145877255E-2</v>
      </c>
    </row>
    <row r="53" spans="1:20" s="54" customFormat="1">
      <c r="A53" s="109"/>
      <c r="C53" s="110"/>
    </row>
    <row r="54" spans="1:20" s="108" customFormat="1">
      <c r="A54" s="108" t="s">
        <v>25</v>
      </c>
      <c r="D54" s="108" t="s">
        <v>20</v>
      </c>
      <c r="E54" s="106">
        <v>-0.1</v>
      </c>
    </row>
    <row r="55" spans="1:20">
      <c r="A55" s="47"/>
      <c r="B55" s="48"/>
      <c r="C55" s="78"/>
      <c r="D55" s="49">
        <f>D13</f>
        <v>-1</v>
      </c>
      <c r="E55" s="49">
        <f t="shared" ref="E55:T55" si="16">E13</f>
        <v>0</v>
      </c>
      <c r="F55" s="49">
        <f t="shared" si="16"/>
        <v>1</v>
      </c>
      <c r="G55" s="49">
        <f t="shared" si="16"/>
        <v>2</v>
      </c>
      <c r="H55" s="49">
        <f t="shared" si="16"/>
        <v>3</v>
      </c>
      <c r="I55" s="49">
        <f t="shared" si="16"/>
        <v>4</v>
      </c>
      <c r="J55" s="49">
        <f t="shared" si="16"/>
        <v>5</v>
      </c>
      <c r="K55" s="49">
        <f t="shared" si="16"/>
        <v>6</v>
      </c>
      <c r="L55" s="49">
        <f t="shared" si="16"/>
        <v>7</v>
      </c>
      <c r="M55" s="49">
        <f t="shared" si="16"/>
        <v>8</v>
      </c>
      <c r="N55" s="49">
        <f t="shared" si="16"/>
        <v>9</v>
      </c>
      <c r="O55" s="49">
        <f t="shared" si="16"/>
        <v>10</v>
      </c>
      <c r="P55" s="49">
        <f t="shared" si="16"/>
        <v>11</v>
      </c>
      <c r="Q55" s="49">
        <f t="shared" si="16"/>
        <v>12</v>
      </c>
      <c r="R55" s="49">
        <f t="shared" si="16"/>
        <v>13</v>
      </c>
      <c r="S55" s="49">
        <f t="shared" si="16"/>
        <v>14</v>
      </c>
      <c r="T55" s="49">
        <f t="shared" si="16"/>
        <v>15</v>
      </c>
    </row>
    <row r="56" spans="1:20">
      <c r="A56" s="50" t="str">
        <f>A77</f>
        <v>Revenues</v>
      </c>
      <c r="B56" s="48"/>
      <c r="C56" s="48"/>
      <c r="D56" s="51"/>
      <c r="E56" s="51"/>
      <c r="F56" s="52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</row>
    <row r="57" spans="1:20" ht="13" customHeight="1">
      <c r="A57" s="53"/>
      <c r="B57" s="79" t="str">
        <f>B78</f>
        <v>Compost sale</v>
      </c>
      <c r="C57" s="54"/>
      <c r="D57" s="55"/>
      <c r="E57" s="55"/>
      <c r="F57" s="81">
        <f>IF(F55&lt;&gt;"",'IRR input'!$D$22*'IRR input'!$D$25*(1+inflation)^'IRR input'!$G$25,0)</f>
        <v>3420000</v>
      </c>
      <c r="G57" s="55">
        <f t="shared" ref="G57:T57" si="17">IF(G$13&lt;&gt;"",F57*(1+inflation),0)</f>
        <v>3635460</v>
      </c>
      <c r="H57" s="55">
        <f t="shared" si="17"/>
        <v>3864493.98</v>
      </c>
      <c r="I57" s="55">
        <f t="shared" si="17"/>
        <v>4107957.1007399997</v>
      </c>
      <c r="J57" s="55">
        <f t="shared" si="17"/>
        <v>4366758.3980866196</v>
      </c>
      <c r="K57" s="55">
        <f t="shared" si="17"/>
        <v>4641864.1771660764</v>
      </c>
      <c r="L57" s="55">
        <f t="shared" si="17"/>
        <v>4934301.6203275388</v>
      </c>
      <c r="M57" s="55">
        <f t="shared" si="17"/>
        <v>5245162.622408173</v>
      </c>
      <c r="N57" s="55">
        <f t="shared" si="17"/>
        <v>5575607.8676198879</v>
      </c>
      <c r="O57" s="55">
        <f t="shared" si="17"/>
        <v>5926871.1632799404</v>
      </c>
      <c r="P57" s="55">
        <f t="shared" si="17"/>
        <v>6300264.0465665767</v>
      </c>
      <c r="Q57" s="55">
        <f t="shared" si="17"/>
        <v>6697180.681500271</v>
      </c>
      <c r="R57" s="55">
        <f t="shared" si="17"/>
        <v>7119103.0644347873</v>
      </c>
      <c r="S57" s="55">
        <f t="shared" si="17"/>
        <v>7567606.5574941784</v>
      </c>
      <c r="T57" s="55">
        <f t="shared" si="17"/>
        <v>8044365.7706163116</v>
      </c>
    </row>
    <row r="58" spans="1:20">
      <c r="A58" s="53"/>
      <c r="B58" s="105" t="str">
        <f>B79</f>
        <v>[Other revenues]</v>
      </c>
      <c r="C58" s="54"/>
      <c r="D58" s="55"/>
      <c r="E58" s="55"/>
      <c r="F58" s="56">
        <f>F$16</f>
        <v>0</v>
      </c>
      <c r="G58" s="55">
        <f t="shared" ref="G58:T60" si="18">G$16</f>
        <v>0</v>
      </c>
      <c r="H58" s="55">
        <f t="shared" si="18"/>
        <v>0</v>
      </c>
      <c r="I58" s="55">
        <f t="shared" si="18"/>
        <v>0</v>
      </c>
      <c r="J58" s="55">
        <f t="shared" si="18"/>
        <v>0</v>
      </c>
      <c r="K58" s="55">
        <f t="shared" si="18"/>
        <v>0</v>
      </c>
      <c r="L58" s="55">
        <f t="shared" si="18"/>
        <v>0</v>
      </c>
      <c r="M58" s="55">
        <f t="shared" si="18"/>
        <v>0</v>
      </c>
      <c r="N58" s="55">
        <f t="shared" si="18"/>
        <v>0</v>
      </c>
      <c r="O58" s="55">
        <f t="shared" si="18"/>
        <v>0</v>
      </c>
      <c r="P58" s="55">
        <f t="shared" si="18"/>
        <v>0</v>
      </c>
      <c r="Q58" s="55">
        <f t="shared" si="18"/>
        <v>0</v>
      </c>
      <c r="R58" s="55">
        <f t="shared" si="18"/>
        <v>0</v>
      </c>
      <c r="S58" s="55">
        <f t="shared" si="18"/>
        <v>0</v>
      </c>
      <c r="T58" s="55">
        <f t="shared" si="18"/>
        <v>0</v>
      </c>
    </row>
    <row r="59" spans="1:20">
      <c r="A59" s="59" t="str">
        <f>A80</f>
        <v>Total revenues</v>
      </c>
      <c r="B59" s="60"/>
      <c r="C59" s="60"/>
      <c r="D59" s="61"/>
      <c r="E59" s="61"/>
      <c r="F59" s="62">
        <f t="shared" ref="F59:T59" si="19">SUM(F57:F58)</f>
        <v>3420000</v>
      </c>
      <c r="G59" s="63">
        <f t="shared" si="19"/>
        <v>3635460</v>
      </c>
      <c r="H59" s="63">
        <f t="shared" si="19"/>
        <v>3864493.98</v>
      </c>
      <c r="I59" s="63">
        <f t="shared" si="19"/>
        <v>4107957.1007399997</v>
      </c>
      <c r="J59" s="63">
        <f t="shared" si="19"/>
        <v>4366758.3980866196</v>
      </c>
      <c r="K59" s="63">
        <f t="shared" si="19"/>
        <v>4641864.1771660764</v>
      </c>
      <c r="L59" s="63">
        <f t="shared" si="19"/>
        <v>4934301.6203275388</v>
      </c>
      <c r="M59" s="63">
        <f t="shared" si="19"/>
        <v>5245162.622408173</v>
      </c>
      <c r="N59" s="63">
        <f t="shared" si="19"/>
        <v>5575607.8676198879</v>
      </c>
      <c r="O59" s="63">
        <f t="shared" si="19"/>
        <v>5926871.1632799404</v>
      </c>
      <c r="P59" s="63">
        <f t="shared" si="19"/>
        <v>6300264.0465665767</v>
      </c>
      <c r="Q59" s="63">
        <f t="shared" si="19"/>
        <v>6697180.681500271</v>
      </c>
      <c r="R59" s="63">
        <f t="shared" si="19"/>
        <v>7119103.0644347873</v>
      </c>
      <c r="S59" s="63">
        <f t="shared" si="19"/>
        <v>7567606.5574941784</v>
      </c>
      <c r="T59" s="63">
        <f t="shared" si="19"/>
        <v>8044365.7706163116</v>
      </c>
    </row>
    <row r="60" spans="1:20" s="68" customFormat="1" ht="15" customHeight="1">
      <c r="A60" s="64" t="str">
        <f>A81</f>
        <v>Residual asset income</v>
      </c>
      <c r="B60" s="65"/>
      <c r="C60" s="65"/>
      <c r="D60" s="66"/>
      <c r="E60" s="66"/>
      <c r="F60" s="56">
        <f>F$16</f>
        <v>0</v>
      </c>
      <c r="G60" s="55">
        <f t="shared" si="18"/>
        <v>0</v>
      </c>
      <c r="H60" s="55">
        <f t="shared" si="18"/>
        <v>0</v>
      </c>
      <c r="I60" s="55">
        <f t="shared" si="18"/>
        <v>0</v>
      </c>
      <c r="J60" s="55">
        <f t="shared" si="18"/>
        <v>0</v>
      </c>
      <c r="K60" s="55">
        <f t="shared" si="18"/>
        <v>0</v>
      </c>
      <c r="L60" s="55">
        <f t="shared" si="18"/>
        <v>0</v>
      </c>
      <c r="M60" s="55">
        <f t="shared" si="18"/>
        <v>0</v>
      </c>
      <c r="N60" s="55">
        <f t="shared" si="18"/>
        <v>0</v>
      </c>
      <c r="O60" s="55">
        <f t="shared" si="18"/>
        <v>0</v>
      </c>
      <c r="P60" s="55">
        <f t="shared" si="18"/>
        <v>0</v>
      </c>
      <c r="Q60" s="55">
        <f t="shared" si="18"/>
        <v>0</v>
      </c>
      <c r="R60" s="55">
        <f t="shared" si="18"/>
        <v>0</v>
      </c>
      <c r="S60" s="55">
        <f t="shared" si="18"/>
        <v>0</v>
      </c>
      <c r="T60" s="55">
        <f t="shared" si="18"/>
        <v>0</v>
      </c>
    </row>
    <row r="61" spans="1:20">
      <c r="A61" s="50" t="str">
        <f>A82</f>
        <v xml:space="preserve">Investment </v>
      </c>
      <c r="B61" s="48"/>
      <c r="C61" s="48"/>
      <c r="D61" s="51"/>
      <c r="E61" s="51"/>
      <c r="F61" s="52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</row>
    <row r="62" spans="1:20">
      <c r="A62" s="53"/>
      <c r="B62" s="54" t="str">
        <f>B83</f>
        <v>Capital expenditure</v>
      </c>
      <c r="C62" s="54"/>
      <c r="D62" s="69">
        <f>'IRR input'!$D$32</f>
        <v>0</v>
      </c>
      <c r="E62" s="69">
        <f>'IRR input'!$D$31</f>
        <v>14823375</v>
      </c>
      <c r="F62" s="56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</row>
    <row r="63" spans="1:20">
      <c r="A63" s="59" t="str">
        <f>A84</f>
        <v>Total investment</v>
      </c>
      <c r="B63" s="60"/>
      <c r="C63" s="60"/>
      <c r="D63" s="63">
        <f>SUM(D62:D62)</f>
        <v>0</v>
      </c>
      <c r="E63" s="63">
        <f>SUM(E62:E62)</f>
        <v>14823375</v>
      </c>
      <c r="F63" s="70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</row>
    <row r="64" spans="1:20">
      <c r="A64" s="50" t="str">
        <f>A85</f>
        <v>Operating expenses</v>
      </c>
      <c r="B64" s="48"/>
      <c r="C64" s="48"/>
      <c r="D64" s="51"/>
      <c r="E64" s="51"/>
      <c r="F64" s="52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</row>
    <row r="65" spans="1:20" s="116" customFormat="1">
      <c r="A65" s="114"/>
      <c r="B65" s="115" t="str">
        <f>B86</f>
        <v>Operation &amp; maintenance</v>
      </c>
      <c r="C65" s="115"/>
      <c r="D65" s="113"/>
      <c r="E65" s="113"/>
      <c r="F65" s="112">
        <f t="shared" ref="F65:T65" si="20">F23*(1+$E$54)</f>
        <v>2683116</v>
      </c>
      <c r="G65" s="113">
        <f t="shared" si="20"/>
        <v>2852152.3079999997</v>
      </c>
      <c r="H65" s="113">
        <f t="shared" si="20"/>
        <v>3031837.9034039997</v>
      </c>
      <c r="I65" s="113">
        <f t="shared" si="20"/>
        <v>3222843.6913184514</v>
      </c>
      <c r="J65" s="113">
        <f t="shared" si="20"/>
        <v>3425882.8438715138</v>
      </c>
      <c r="K65" s="113">
        <f t="shared" si="20"/>
        <v>3641713.4630354187</v>
      </c>
      <c r="L65" s="113">
        <f t="shared" si="20"/>
        <v>3871141.4112066496</v>
      </c>
      <c r="M65" s="113">
        <f t="shared" si="20"/>
        <v>4115023.3201126684</v>
      </c>
      <c r="N65" s="113">
        <f t="shared" si="20"/>
        <v>4374269.7892797664</v>
      </c>
      <c r="O65" s="113">
        <f t="shared" si="20"/>
        <v>4649848.7860043915</v>
      </c>
      <c r="P65" s="113">
        <f t="shared" si="20"/>
        <v>4942789.2595226681</v>
      </c>
      <c r="Q65" s="113">
        <f t="shared" si="20"/>
        <v>5254184.982872596</v>
      </c>
      <c r="R65" s="113">
        <f t="shared" si="20"/>
        <v>5585198.6367935697</v>
      </c>
      <c r="S65" s="113">
        <f t="shared" si="20"/>
        <v>5937066.1509115631</v>
      </c>
      <c r="T65" s="113">
        <f t="shared" si="20"/>
        <v>6311101.3184189908</v>
      </c>
    </row>
    <row r="66" spans="1:20" s="116" customFormat="1">
      <c r="A66" s="114"/>
      <c r="B66" s="118" t="str">
        <f>B87</f>
        <v>[Other operating expenditure]</v>
      </c>
      <c r="C66" s="115"/>
      <c r="D66" s="113"/>
      <c r="E66" s="113"/>
      <c r="F66" s="112">
        <f t="shared" ref="F66:T66" si="21">F24*(1+$E$54)</f>
        <v>0</v>
      </c>
      <c r="G66" s="113">
        <f t="shared" si="21"/>
        <v>0</v>
      </c>
      <c r="H66" s="113">
        <f t="shared" si="21"/>
        <v>0</v>
      </c>
      <c r="I66" s="113">
        <f t="shared" si="21"/>
        <v>0</v>
      </c>
      <c r="J66" s="113">
        <f t="shared" si="21"/>
        <v>0</v>
      </c>
      <c r="K66" s="113">
        <f t="shared" si="21"/>
        <v>0</v>
      </c>
      <c r="L66" s="113">
        <f t="shared" si="21"/>
        <v>0</v>
      </c>
      <c r="M66" s="113">
        <f t="shared" si="21"/>
        <v>0</v>
      </c>
      <c r="N66" s="113">
        <f t="shared" si="21"/>
        <v>0</v>
      </c>
      <c r="O66" s="113">
        <f t="shared" si="21"/>
        <v>0</v>
      </c>
      <c r="P66" s="113">
        <f t="shared" si="21"/>
        <v>0</v>
      </c>
      <c r="Q66" s="113">
        <f t="shared" si="21"/>
        <v>0</v>
      </c>
      <c r="R66" s="113">
        <f t="shared" si="21"/>
        <v>0</v>
      </c>
      <c r="S66" s="113">
        <f t="shared" si="21"/>
        <v>0</v>
      </c>
      <c r="T66" s="113">
        <f t="shared" si="21"/>
        <v>0</v>
      </c>
    </row>
    <row r="67" spans="1:20">
      <c r="A67" s="59" t="str">
        <f>A88</f>
        <v>Total operating expenses</v>
      </c>
      <c r="B67" s="60"/>
      <c r="C67" s="60"/>
      <c r="D67" s="61"/>
      <c r="E67" s="61"/>
      <c r="F67" s="62">
        <f t="shared" ref="F67:T67" si="22">SUM(F65:F66)</f>
        <v>2683116</v>
      </c>
      <c r="G67" s="63">
        <f t="shared" si="22"/>
        <v>2852152.3079999997</v>
      </c>
      <c r="H67" s="63">
        <f t="shared" si="22"/>
        <v>3031837.9034039997</v>
      </c>
      <c r="I67" s="63">
        <f t="shared" si="22"/>
        <v>3222843.6913184514</v>
      </c>
      <c r="J67" s="63">
        <f t="shared" si="22"/>
        <v>3425882.8438715138</v>
      </c>
      <c r="K67" s="63">
        <f t="shared" si="22"/>
        <v>3641713.4630354187</v>
      </c>
      <c r="L67" s="63">
        <f t="shared" si="22"/>
        <v>3871141.4112066496</v>
      </c>
      <c r="M67" s="63">
        <f t="shared" si="22"/>
        <v>4115023.3201126684</v>
      </c>
      <c r="N67" s="63">
        <f t="shared" si="22"/>
        <v>4374269.7892797664</v>
      </c>
      <c r="O67" s="63">
        <f t="shared" si="22"/>
        <v>4649848.7860043915</v>
      </c>
      <c r="P67" s="63">
        <f t="shared" si="22"/>
        <v>4942789.2595226681</v>
      </c>
      <c r="Q67" s="63">
        <f t="shared" si="22"/>
        <v>5254184.982872596</v>
      </c>
      <c r="R67" s="63">
        <f t="shared" si="22"/>
        <v>5585198.6367935697</v>
      </c>
      <c r="S67" s="63">
        <f t="shared" si="22"/>
        <v>5937066.1509115631</v>
      </c>
      <c r="T67" s="63">
        <f t="shared" si="22"/>
        <v>6311101.3184189908</v>
      </c>
    </row>
    <row r="68" spans="1:20" ht="15" customHeight="1">
      <c r="A68" s="50" t="str">
        <f>A89</f>
        <v>Insurance</v>
      </c>
      <c r="B68" s="48"/>
      <c r="C68" s="48"/>
      <c r="D68" s="51"/>
      <c r="E68" s="51"/>
      <c r="F68" s="52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</row>
    <row r="69" spans="1:20">
      <c r="A69" s="53"/>
      <c r="B69" s="105" t="str">
        <f>B90</f>
        <v>Insurance</v>
      </c>
      <c r="C69" s="54"/>
      <c r="D69" s="55"/>
      <c r="E69" s="55"/>
      <c r="F69" s="71">
        <f>IF(F55&lt;&gt;"",SUM($D$21:$F$21)*'IRR input'!$D$36,0)</f>
        <v>0</v>
      </c>
      <c r="G69" s="72">
        <f>IF(G55&lt;&gt;"",SUM($D$21:$F$21)*'IRR input'!$D$36,0)</f>
        <v>0</v>
      </c>
      <c r="H69" s="72">
        <f>IF(H55&lt;&gt;"",SUM($D$21:$F$21)*'IRR input'!$D$36,0)</f>
        <v>0</v>
      </c>
      <c r="I69" s="72">
        <f>IF(I55&lt;&gt;"",SUM($D$21:$F$21)*'IRR input'!$D$36,0)</f>
        <v>0</v>
      </c>
      <c r="J69" s="72">
        <f>IF(J55&lt;&gt;"",SUM($D$21:$F$21)*'IRR input'!$D$36,0)</f>
        <v>0</v>
      </c>
      <c r="K69" s="72">
        <f>IF(K55&lt;&gt;"",SUM($D$21:$F$21)*'IRR input'!$D$36,0)</f>
        <v>0</v>
      </c>
      <c r="L69" s="72">
        <f>IF(L55&lt;&gt;"",SUM($D$21:$F$21)*'IRR input'!$D$36,0)</f>
        <v>0</v>
      </c>
      <c r="M69" s="72">
        <f>IF(M55&lt;&gt;"",SUM($D$21:$F$21)*'IRR input'!$D$36,0)</f>
        <v>0</v>
      </c>
      <c r="N69" s="72">
        <f>IF(N55&lt;&gt;"",SUM($D$21:$F$21)*'IRR input'!$D$36,0)</f>
        <v>0</v>
      </c>
      <c r="O69" s="72">
        <f>IF(O55&lt;&gt;"",SUM($D$21:$F$21)*'IRR input'!$D$36,0)</f>
        <v>0</v>
      </c>
      <c r="P69" s="72">
        <f>IF(P55&lt;&gt;"",SUM($D$21:$F$21)*'IRR input'!$D$36,0)</f>
        <v>0</v>
      </c>
      <c r="Q69" s="72">
        <f>IF(Q55&lt;&gt;"",SUM($D$21:$F$21)*'IRR input'!$D$36,0)</f>
        <v>0</v>
      </c>
      <c r="R69" s="72">
        <f>IF(R55&lt;&gt;"",SUM($D$21:$F$21)*'IRR input'!$D$36,0)</f>
        <v>0</v>
      </c>
      <c r="S69" s="72">
        <f>IF(S55&lt;&gt;"",SUM($D$21:$F$21)*'IRR input'!$D$36,0)</f>
        <v>0</v>
      </c>
      <c r="T69" s="72">
        <f>IF(T55&lt;&gt;"",SUM($D$21:$F$21)*'IRR input'!$D$36,0)</f>
        <v>0</v>
      </c>
    </row>
    <row r="70" spans="1:20">
      <c r="A70" s="145" t="s">
        <v>63</v>
      </c>
      <c r="B70" s="73"/>
      <c r="C70" s="73"/>
      <c r="D70" s="66">
        <f t="shared" ref="D70:T70" si="23">IF(D55&lt;&gt;"",D59+D60-D63-D67-D69,0)</f>
        <v>0</v>
      </c>
      <c r="E70" s="66">
        <f t="shared" si="23"/>
        <v>-14823375</v>
      </c>
      <c r="F70" s="67">
        <f t="shared" si="23"/>
        <v>736884</v>
      </c>
      <c r="G70" s="66">
        <f t="shared" si="23"/>
        <v>783307.69200000027</v>
      </c>
      <c r="H70" s="66">
        <f t="shared" si="23"/>
        <v>832656.07659600023</v>
      </c>
      <c r="I70" s="66">
        <f t="shared" si="23"/>
        <v>885113.40942154825</v>
      </c>
      <c r="J70" s="66">
        <f t="shared" si="23"/>
        <v>940875.55421510572</v>
      </c>
      <c r="K70" s="66">
        <f t="shared" si="23"/>
        <v>1000150.7141306577</v>
      </c>
      <c r="L70" s="66">
        <f t="shared" si="23"/>
        <v>1063160.2091208892</v>
      </c>
      <c r="M70" s="66">
        <f t="shared" si="23"/>
        <v>1130139.3022955046</v>
      </c>
      <c r="N70" s="66">
        <f t="shared" si="23"/>
        <v>1201338.0783401215</v>
      </c>
      <c r="O70" s="66">
        <f t="shared" si="23"/>
        <v>1277022.3772755489</v>
      </c>
      <c r="P70" s="66">
        <f t="shared" si="23"/>
        <v>1357474.7870439086</v>
      </c>
      <c r="Q70" s="66">
        <f t="shared" si="23"/>
        <v>1442995.698627675</v>
      </c>
      <c r="R70" s="66">
        <f t="shared" si="23"/>
        <v>1533904.4276412176</v>
      </c>
      <c r="S70" s="66">
        <f t="shared" si="23"/>
        <v>1630540.4065826153</v>
      </c>
      <c r="T70" s="66">
        <f t="shared" si="23"/>
        <v>1733264.4521973208</v>
      </c>
    </row>
    <row r="71" spans="1:20" s="54" customFormat="1" ht="12" customHeight="1" thickBot="1">
      <c r="A71" s="68"/>
    </row>
    <row r="72" spans="1:20" s="54" customFormat="1" ht="14" thickBot="1">
      <c r="A72" s="146" t="s">
        <v>64</v>
      </c>
      <c r="B72" s="74"/>
      <c r="C72" s="75">
        <f>IRR(D70:T70)</f>
        <v>1.9027258810429548E-2</v>
      </c>
    </row>
    <row r="73" spans="1:20" s="54" customFormat="1">
      <c r="A73" s="109"/>
      <c r="C73" s="110"/>
    </row>
    <row r="75" spans="1:20" s="108" customFormat="1">
      <c r="A75" s="108" t="s">
        <v>24</v>
      </c>
      <c r="D75" s="108" t="s">
        <v>20</v>
      </c>
      <c r="E75" s="106">
        <v>0.1</v>
      </c>
    </row>
    <row r="76" spans="1:20">
      <c r="A76" s="47"/>
      <c r="B76" s="48"/>
      <c r="C76" s="78"/>
      <c r="D76" s="49">
        <f>D13</f>
        <v>-1</v>
      </c>
      <c r="E76" s="49">
        <f t="shared" ref="E76:T76" si="24">E13</f>
        <v>0</v>
      </c>
      <c r="F76" s="49">
        <f t="shared" si="24"/>
        <v>1</v>
      </c>
      <c r="G76" s="49">
        <f t="shared" si="24"/>
        <v>2</v>
      </c>
      <c r="H76" s="49">
        <f t="shared" si="24"/>
        <v>3</v>
      </c>
      <c r="I76" s="49">
        <f t="shared" si="24"/>
        <v>4</v>
      </c>
      <c r="J76" s="49">
        <f t="shared" si="24"/>
        <v>5</v>
      </c>
      <c r="K76" s="49">
        <f t="shared" si="24"/>
        <v>6</v>
      </c>
      <c r="L76" s="49">
        <f t="shared" si="24"/>
        <v>7</v>
      </c>
      <c r="M76" s="49">
        <f t="shared" si="24"/>
        <v>8</v>
      </c>
      <c r="N76" s="49">
        <f t="shared" si="24"/>
        <v>9</v>
      </c>
      <c r="O76" s="49">
        <f t="shared" si="24"/>
        <v>10</v>
      </c>
      <c r="P76" s="49">
        <f t="shared" si="24"/>
        <v>11</v>
      </c>
      <c r="Q76" s="49">
        <f t="shared" si="24"/>
        <v>12</v>
      </c>
      <c r="R76" s="49">
        <f t="shared" si="24"/>
        <v>13</v>
      </c>
      <c r="S76" s="49">
        <f t="shared" si="24"/>
        <v>14</v>
      </c>
      <c r="T76" s="49">
        <f t="shared" si="24"/>
        <v>15</v>
      </c>
    </row>
    <row r="77" spans="1:20">
      <c r="A77" s="50" t="str">
        <f>A35</f>
        <v>Revenues</v>
      </c>
      <c r="B77" s="48"/>
      <c r="C77" s="48"/>
      <c r="D77" s="51"/>
      <c r="E77" s="51"/>
      <c r="F77" s="52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</row>
    <row r="78" spans="1:20" s="116" customFormat="1" ht="13" customHeight="1">
      <c r="A78" s="114"/>
      <c r="B78" s="115" t="str">
        <f>B36</f>
        <v>Compost sale</v>
      </c>
      <c r="C78" s="115"/>
      <c r="D78" s="119"/>
      <c r="E78" s="113"/>
      <c r="F78" s="117">
        <f t="shared" ref="F78:T78" si="25">F15*(1+$E$75)</f>
        <v>3762000.0000000005</v>
      </c>
      <c r="G78" s="113">
        <f t="shared" si="25"/>
        <v>3999006.0000000005</v>
      </c>
      <c r="H78" s="120">
        <f t="shared" si="25"/>
        <v>4250943.3780000005</v>
      </c>
      <c r="I78" s="120">
        <f t="shared" si="25"/>
        <v>4518752.8108139997</v>
      </c>
      <c r="J78" s="120">
        <f t="shared" si="25"/>
        <v>4803434.237895282</v>
      </c>
      <c r="K78" s="120">
        <f t="shared" si="25"/>
        <v>5106050.5948826848</v>
      </c>
      <c r="L78" s="120">
        <f t="shared" si="25"/>
        <v>5427731.782360293</v>
      </c>
      <c r="M78" s="120">
        <f t="shared" si="25"/>
        <v>5769678.8846489908</v>
      </c>
      <c r="N78" s="120">
        <f t="shared" si="25"/>
        <v>6133168.6543818768</v>
      </c>
      <c r="O78" s="120">
        <f t="shared" si="25"/>
        <v>6519558.2796079349</v>
      </c>
      <c r="P78" s="120">
        <f t="shared" si="25"/>
        <v>6930290.4512232346</v>
      </c>
      <c r="Q78" s="120">
        <f t="shared" si="25"/>
        <v>7366898.7496502986</v>
      </c>
      <c r="R78" s="120">
        <f t="shared" si="25"/>
        <v>7831013.3708782662</v>
      </c>
      <c r="S78" s="120">
        <f t="shared" si="25"/>
        <v>8324367.2132435972</v>
      </c>
      <c r="T78" s="120">
        <f t="shared" si="25"/>
        <v>8848802.3476779442</v>
      </c>
    </row>
    <row r="79" spans="1:20" s="116" customFormat="1">
      <c r="A79" s="114"/>
      <c r="B79" s="118" t="str">
        <f>B37</f>
        <v>[Other revenues]</v>
      </c>
      <c r="C79" s="115"/>
      <c r="D79" s="113"/>
      <c r="E79" s="113"/>
      <c r="F79" s="112">
        <f t="shared" ref="F79:T79" si="26">F$16*(1+$E$75)</f>
        <v>0</v>
      </c>
      <c r="G79" s="113">
        <f t="shared" si="26"/>
        <v>0</v>
      </c>
      <c r="H79" s="113">
        <f t="shared" si="26"/>
        <v>0</v>
      </c>
      <c r="I79" s="113">
        <f t="shared" si="26"/>
        <v>0</v>
      </c>
      <c r="J79" s="113">
        <f t="shared" si="26"/>
        <v>0</v>
      </c>
      <c r="K79" s="113">
        <f t="shared" si="26"/>
        <v>0</v>
      </c>
      <c r="L79" s="113">
        <f t="shared" si="26"/>
        <v>0</v>
      </c>
      <c r="M79" s="113">
        <f t="shared" si="26"/>
        <v>0</v>
      </c>
      <c r="N79" s="113">
        <f t="shared" si="26"/>
        <v>0</v>
      </c>
      <c r="O79" s="113">
        <f t="shared" si="26"/>
        <v>0</v>
      </c>
      <c r="P79" s="113">
        <f t="shared" si="26"/>
        <v>0</v>
      </c>
      <c r="Q79" s="113">
        <f t="shared" si="26"/>
        <v>0</v>
      </c>
      <c r="R79" s="113">
        <f t="shared" si="26"/>
        <v>0</v>
      </c>
      <c r="S79" s="113">
        <f t="shared" si="26"/>
        <v>0</v>
      </c>
      <c r="T79" s="113">
        <f t="shared" si="26"/>
        <v>0</v>
      </c>
    </row>
    <row r="80" spans="1:20">
      <c r="A80" s="59" t="str">
        <f>A38</f>
        <v>Total revenues</v>
      </c>
      <c r="B80" s="60"/>
      <c r="C80" s="60"/>
      <c r="D80" s="61"/>
      <c r="E80" s="61"/>
      <c r="F80" s="62">
        <f t="shared" ref="F80:T80" si="27">SUM(F78:F79)</f>
        <v>3762000.0000000005</v>
      </c>
      <c r="G80" s="63">
        <f t="shared" si="27"/>
        <v>3999006.0000000005</v>
      </c>
      <c r="H80" s="63">
        <f t="shared" si="27"/>
        <v>4250943.3780000005</v>
      </c>
      <c r="I80" s="63">
        <f t="shared" si="27"/>
        <v>4518752.8108139997</v>
      </c>
      <c r="J80" s="63">
        <f t="shared" si="27"/>
        <v>4803434.237895282</v>
      </c>
      <c r="K80" s="63">
        <f t="shared" si="27"/>
        <v>5106050.5948826848</v>
      </c>
      <c r="L80" s="63">
        <f t="shared" si="27"/>
        <v>5427731.782360293</v>
      </c>
      <c r="M80" s="63">
        <f t="shared" si="27"/>
        <v>5769678.8846489908</v>
      </c>
      <c r="N80" s="63">
        <f t="shared" si="27"/>
        <v>6133168.6543818768</v>
      </c>
      <c r="O80" s="63">
        <f t="shared" si="27"/>
        <v>6519558.2796079349</v>
      </c>
      <c r="P80" s="63">
        <f t="shared" si="27"/>
        <v>6930290.4512232346</v>
      </c>
      <c r="Q80" s="63">
        <f t="shared" si="27"/>
        <v>7366898.7496502986</v>
      </c>
      <c r="R80" s="63">
        <f t="shared" si="27"/>
        <v>7831013.3708782662</v>
      </c>
      <c r="S80" s="63">
        <f t="shared" si="27"/>
        <v>8324367.2132435972</v>
      </c>
      <c r="T80" s="63">
        <f t="shared" si="27"/>
        <v>8848802.3476779442</v>
      </c>
    </row>
    <row r="81" spans="1:20" s="68" customFormat="1" ht="15" customHeight="1">
      <c r="A81" s="64" t="str">
        <f>A39</f>
        <v>Residual asset income</v>
      </c>
      <c r="B81" s="65"/>
      <c r="C81" s="65"/>
      <c r="D81" s="66"/>
      <c r="E81" s="66"/>
      <c r="F81" s="56">
        <f t="shared" ref="F81:T81" si="28">F$16</f>
        <v>0</v>
      </c>
      <c r="G81" s="55">
        <f t="shared" si="28"/>
        <v>0</v>
      </c>
      <c r="H81" s="55">
        <f t="shared" si="28"/>
        <v>0</v>
      </c>
      <c r="I81" s="55">
        <f t="shared" si="28"/>
        <v>0</v>
      </c>
      <c r="J81" s="55">
        <f t="shared" si="28"/>
        <v>0</v>
      </c>
      <c r="K81" s="55">
        <f t="shared" si="28"/>
        <v>0</v>
      </c>
      <c r="L81" s="55">
        <f t="shared" si="28"/>
        <v>0</v>
      </c>
      <c r="M81" s="55">
        <f t="shared" si="28"/>
        <v>0</v>
      </c>
      <c r="N81" s="55">
        <f t="shared" si="28"/>
        <v>0</v>
      </c>
      <c r="O81" s="55">
        <f t="shared" si="28"/>
        <v>0</v>
      </c>
      <c r="P81" s="55">
        <f t="shared" si="28"/>
        <v>0</v>
      </c>
      <c r="Q81" s="55">
        <f t="shared" si="28"/>
        <v>0</v>
      </c>
      <c r="R81" s="55">
        <f t="shared" si="28"/>
        <v>0</v>
      </c>
      <c r="S81" s="55">
        <f t="shared" si="28"/>
        <v>0</v>
      </c>
      <c r="T81" s="55">
        <f t="shared" si="28"/>
        <v>0</v>
      </c>
    </row>
    <row r="82" spans="1:20">
      <c r="A82" s="50" t="str">
        <f>A40</f>
        <v xml:space="preserve">Investment </v>
      </c>
      <c r="B82" s="48"/>
      <c r="C82" s="48"/>
      <c r="D82" s="51"/>
      <c r="E82" s="51"/>
      <c r="F82" s="52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</row>
    <row r="83" spans="1:20">
      <c r="A83" s="53"/>
      <c r="B83" s="54" t="str">
        <f>B41</f>
        <v>Capital expenditure</v>
      </c>
      <c r="C83" s="54"/>
      <c r="D83" s="69">
        <f>'IRR input'!$D$32</f>
        <v>0</v>
      </c>
      <c r="E83" s="69">
        <f>'IRR input'!$D$31</f>
        <v>14823375</v>
      </c>
      <c r="F83" s="56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</row>
    <row r="84" spans="1:20">
      <c r="A84" s="59" t="str">
        <f>A42</f>
        <v>Total investment</v>
      </c>
      <c r="B84" s="60"/>
      <c r="C84" s="60"/>
      <c r="D84" s="63">
        <f>SUM(D83:D83)</f>
        <v>0</v>
      </c>
      <c r="E84" s="63">
        <f>SUM(E83:E83)</f>
        <v>14823375</v>
      </c>
      <c r="F84" s="70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</row>
    <row r="85" spans="1:20">
      <c r="A85" s="50" t="str">
        <f>A43</f>
        <v>Operating expenses</v>
      </c>
      <c r="B85" s="48"/>
      <c r="C85" s="48"/>
      <c r="D85" s="51"/>
      <c r="E85" s="51"/>
      <c r="F85" s="52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</row>
    <row r="86" spans="1:20">
      <c r="A86" s="53"/>
      <c r="B86" s="54" t="str">
        <f>B44</f>
        <v>Operation &amp; maintenance</v>
      </c>
      <c r="C86" s="54"/>
      <c r="D86" s="55"/>
      <c r="E86" s="55"/>
      <c r="F86" s="56">
        <f>IF(F76&lt;&gt;"",'IRR input'!$D$34*(1+inflation)^'IRR input'!$G$34,0)</f>
        <v>2981240</v>
      </c>
      <c r="G86" s="55">
        <f t="shared" ref="G86:T86" si="29">IF(G$13&lt;&gt;"",F86*(1+inflation),0)</f>
        <v>3169058.1199999996</v>
      </c>
      <c r="H86" s="55">
        <f t="shared" si="29"/>
        <v>3368708.7815599996</v>
      </c>
      <c r="I86" s="55">
        <f t="shared" si="29"/>
        <v>3580937.4347982793</v>
      </c>
      <c r="J86" s="55">
        <f t="shared" si="29"/>
        <v>3806536.4931905707</v>
      </c>
      <c r="K86" s="55">
        <f t="shared" si="29"/>
        <v>4046348.2922615763</v>
      </c>
      <c r="L86" s="55">
        <f t="shared" si="29"/>
        <v>4301268.2346740551</v>
      </c>
      <c r="M86" s="55">
        <f t="shared" si="29"/>
        <v>4572248.1334585203</v>
      </c>
      <c r="N86" s="55">
        <f t="shared" si="29"/>
        <v>4860299.7658664072</v>
      </c>
      <c r="O86" s="55">
        <f t="shared" si="29"/>
        <v>5166498.6511159902</v>
      </c>
      <c r="P86" s="55">
        <f t="shared" si="29"/>
        <v>5491988.0661362978</v>
      </c>
      <c r="Q86" s="55">
        <f t="shared" si="29"/>
        <v>5837983.314302884</v>
      </c>
      <c r="R86" s="55">
        <f t="shared" si="29"/>
        <v>6205776.2631039657</v>
      </c>
      <c r="S86" s="55">
        <f t="shared" si="29"/>
        <v>6596740.1676795147</v>
      </c>
      <c r="T86" s="55">
        <f t="shared" si="29"/>
        <v>7012334.7982433233</v>
      </c>
    </row>
    <row r="87" spans="1:20">
      <c r="A87" s="53"/>
      <c r="B87" s="105" t="str">
        <f>B45</f>
        <v>[Other operating expenditure]</v>
      </c>
      <c r="C87" s="54"/>
      <c r="D87" s="55"/>
      <c r="E87" s="55"/>
      <c r="F87" s="56">
        <f>IF(F76&lt;&gt;"",'IRR input'!$D$35*(1+inflation)^'IRR input'!$G$35,0)</f>
        <v>0</v>
      </c>
      <c r="G87" s="55">
        <f t="shared" ref="G87:T87" si="30">IF(G$13&lt;&gt;"",F87*(1+inflation),0)</f>
        <v>0</v>
      </c>
      <c r="H87" s="55">
        <f t="shared" si="30"/>
        <v>0</v>
      </c>
      <c r="I87" s="55">
        <f t="shared" si="30"/>
        <v>0</v>
      </c>
      <c r="J87" s="55">
        <f t="shared" si="30"/>
        <v>0</v>
      </c>
      <c r="K87" s="55">
        <f t="shared" si="30"/>
        <v>0</v>
      </c>
      <c r="L87" s="55">
        <f t="shared" si="30"/>
        <v>0</v>
      </c>
      <c r="M87" s="55">
        <f t="shared" si="30"/>
        <v>0</v>
      </c>
      <c r="N87" s="55">
        <f t="shared" si="30"/>
        <v>0</v>
      </c>
      <c r="O87" s="55">
        <f t="shared" si="30"/>
        <v>0</v>
      </c>
      <c r="P87" s="55">
        <f t="shared" si="30"/>
        <v>0</v>
      </c>
      <c r="Q87" s="55">
        <f t="shared" si="30"/>
        <v>0</v>
      </c>
      <c r="R87" s="55">
        <f t="shared" si="30"/>
        <v>0</v>
      </c>
      <c r="S87" s="55">
        <f t="shared" si="30"/>
        <v>0</v>
      </c>
      <c r="T87" s="55">
        <f t="shared" si="30"/>
        <v>0</v>
      </c>
    </row>
    <row r="88" spans="1:20">
      <c r="A88" s="59" t="str">
        <f>A46</f>
        <v>Total operating expenses</v>
      </c>
      <c r="B88" s="60"/>
      <c r="C88" s="60"/>
      <c r="D88" s="61"/>
      <c r="E88" s="61"/>
      <c r="F88" s="62">
        <f t="shared" ref="F88:T88" si="31">SUM(F86:F87)</f>
        <v>2981240</v>
      </c>
      <c r="G88" s="63">
        <f t="shared" si="31"/>
        <v>3169058.1199999996</v>
      </c>
      <c r="H88" s="63">
        <f t="shared" si="31"/>
        <v>3368708.7815599996</v>
      </c>
      <c r="I88" s="63">
        <f t="shared" si="31"/>
        <v>3580937.4347982793</v>
      </c>
      <c r="J88" s="63">
        <f t="shared" si="31"/>
        <v>3806536.4931905707</v>
      </c>
      <c r="K88" s="63">
        <f t="shared" si="31"/>
        <v>4046348.2922615763</v>
      </c>
      <c r="L88" s="63">
        <f t="shared" si="31"/>
        <v>4301268.2346740551</v>
      </c>
      <c r="M88" s="63">
        <f t="shared" si="31"/>
        <v>4572248.1334585203</v>
      </c>
      <c r="N88" s="63">
        <f t="shared" si="31"/>
        <v>4860299.7658664072</v>
      </c>
      <c r="O88" s="63">
        <f t="shared" si="31"/>
        <v>5166498.6511159902</v>
      </c>
      <c r="P88" s="63">
        <f t="shared" si="31"/>
        <v>5491988.0661362978</v>
      </c>
      <c r="Q88" s="63">
        <f t="shared" si="31"/>
        <v>5837983.314302884</v>
      </c>
      <c r="R88" s="63">
        <f t="shared" si="31"/>
        <v>6205776.2631039657</v>
      </c>
      <c r="S88" s="63">
        <f t="shared" si="31"/>
        <v>6596740.1676795147</v>
      </c>
      <c r="T88" s="63">
        <f t="shared" si="31"/>
        <v>7012334.7982433233</v>
      </c>
    </row>
    <row r="89" spans="1:20" ht="15" customHeight="1">
      <c r="A89" s="50" t="str">
        <f>A47</f>
        <v>Insurance</v>
      </c>
      <c r="B89" s="48"/>
      <c r="C89" s="48"/>
      <c r="D89" s="51"/>
      <c r="E89" s="51"/>
      <c r="F89" s="52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</row>
    <row r="90" spans="1:20">
      <c r="A90" s="53"/>
      <c r="B90" s="105" t="str">
        <f>B48</f>
        <v>Insurance</v>
      </c>
      <c r="C90" s="54"/>
      <c r="D90" s="55"/>
      <c r="E90" s="55"/>
      <c r="F90" s="71">
        <f>IF(F76&lt;&gt;"",SUM($D$21:$F$21)*'IRR input'!$D$36,0)</f>
        <v>0</v>
      </c>
      <c r="G90" s="72">
        <f>IF(G76&lt;&gt;"",SUM($D$21:$F$21)*'IRR input'!$D$36,0)</f>
        <v>0</v>
      </c>
      <c r="H90" s="72">
        <f>IF(H76&lt;&gt;"",SUM($D$21:$F$21)*'IRR input'!$D$36,0)</f>
        <v>0</v>
      </c>
      <c r="I90" s="72">
        <f>IF(I76&lt;&gt;"",SUM($D$21:$F$21)*'IRR input'!$D$36,0)</f>
        <v>0</v>
      </c>
      <c r="J90" s="72">
        <f>IF(J76&lt;&gt;"",SUM($D$21:$F$21)*'IRR input'!$D$36,0)</f>
        <v>0</v>
      </c>
      <c r="K90" s="72">
        <f>IF(K76&lt;&gt;"",SUM($D$21:$F$21)*'IRR input'!$D$36,0)</f>
        <v>0</v>
      </c>
      <c r="L90" s="72">
        <f>IF(L76&lt;&gt;"",SUM($D$21:$F$21)*'IRR input'!$D$36,0)</f>
        <v>0</v>
      </c>
      <c r="M90" s="72">
        <f>IF(M76&lt;&gt;"",SUM($D$21:$F$21)*'IRR input'!$D$36,0)</f>
        <v>0</v>
      </c>
      <c r="N90" s="72">
        <f>IF(N76&lt;&gt;"",SUM($D$21:$F$21)*'IRR input'!$D$36,0)</f>
        <v>0</v>
      </c>
      <c r="O90" s="72">
        <f>IF(O76&lt;&gt;"",SUM($D$21:$F$21)*'IRR input'!$D$36,0)</f>
        <v>0</v>
      </c>
      <c r="P90" s="72">
        <f>IF(P76&lt;&gt;"",SUM($D$21:$F$21)*'IRR input'!$D$36,0)</f>
        <v>0</v>
      </c>
      <c r="Q90" s="72">
        <f>IF(Q76&lt;&gt;"",SUM($D$21:$F$21)*'IRR input'!$D$36,0)</f>
        <v>0</v>
      </c>
      <c r="R90" s="72">
        <f>IF(R76&lt;&gt;"",SUM($D$21:$F$21)*'IRR input'!$D$36,0)</f>
        <v>0</v>
      </c>
      <c r="S90" s="72">
        <f>IF(S76&lt;&gt;"",SUM($D$21:$F$21)*'IRR input'!$D$36,0)</f>
        <v>0</v>
      </c>
      <c r="T90" s="72">
        <f>IF(T76&lt;&gt;"",SUM($D$21:$F$21)*'IRR input'!$D$36,0)</f>
        <v>0</v>
      </c>
    </row>
    <row r="91" spans="1:20">
      <c r="A91" s="145" t="s">
        <v>63</v>
      </c>
      <c r="B91" s="73"/>
      <c r="C91" s="73"/>
      <c r="D91" s="66">
        <f t="shared" ref="D91:T91" si="32">IF(D76&lt;&gt;"",D80+D81-D84-D88-D90,0)</f>
        <v>0</v>
      </c>
      <c r="E91" s="66">
        <f t="shared" si="32"/>
        <v>-14823375</v>
      </c>
      <c r="F91" s="67">
        <f t="shared" si="32"/>
        <v>780760.00000000047</v>
      </c>
      <c r="G91" s="66">
        <f t="shared" si="32"/>
        <v>829947.88000000082</v>
      </c>
      <c r="H91" s="66">
        <f t="shared" si="32"/>
        <v>882234.59644000093</v>
      </c>
      <c r="I91" s="66">
        <f t="shared" si="32"/>
        <v>937815.37601572042</v>
      </c>
      <c r="J91" s="66">
        <f t="shared" si="32"/>
        <v>996897.74470471125</v>
      </c>
      <c r="K91" s="66">
        <f t="shared" si="32"/>
        <v>1059702.3026211085</v>
      </c>
      <c r="L91" s="66">
        <f t="shared" si="32"/>
        <v>1126463.5476862378</v>
      </c>
      <c r="M91" s="66">
        <f t="shared" si="32"/>
        <v>1197430.7511904705</v>
      </c>
      <c r="N91" s="66">
        <f t="shared" si="32"/>
        <v>1272868.8885154696</v>
      </c>
      <c r="O91" s="66">
        <f t="shared" si="32"/>
        <v>1353059.6284919446</v>
      </c>
      <c r="P91" s="66">
        <f t="shared" si="32"/>
        <v>1438302.3850869369</v>
      </c>
      <c r="Q91" s="66">
        <f t="shared" si="32"/>
        <v>1528915.4353474146</v>
      </c>
      <c r="R91" s="66">
        <f t="shared" si="32"/>
        <v>1625237.1077743005</v>
      </c>
      <c r="S91" s="66">
        <f t="shared" si="32"/>
        <v>1727627.0455640825</v>
      </c>
      <c r="T91" s="66">
        <f t="shared" si="32"/>
        <v>1836467.5494346209</v>
      </c>
    </row>
    <row r="92" spans="1:20" s="54" customFormat="1" ht="12" customHeight="1" thickBot="1">
      <c r="A92" s="68"/>
    </row>
    <row r="93" spans="1:20" s="54" customFormat="1" ht="14" thickBot="1">
      <c r="A93" s="146" t="s">
        <v>64</v>
      </c>
      <c r="B93" s="74"/>
      <c r="C93" s="75">
        <f>IRR(D91:T91)</f>
        <v>2.5806640337829295E-2</v>
      </c>
    </row>
    <row r="94" spans="1:20" s="54" customFormat="1">
      <c r="A94" s="109"/>
      <c r="C94" s="110"/>
    </row>
    <row r="95" spans="1:20" s="54" customFormat="1">
      <c r="A95" s="109"/>
      <c r="C95" s="110"/>
    </row>
    <row r="96" spans="1:20" s="54" customFormat="1">
      <c r="A96" s="109"/>
      <c r="C96" s="110"/>
    </row>
    <row r="97" spans="1:13" s="54" customFormat="1" ht="14" thickBot="1">
      <c r="A97" s="109"/>
      <c r="C97" s="110"/>
      <c r="F97" s="38">
        <f>13870.6/1000*0</f>
        <v>0</v>
      </c>
      <c r="G97" s="144">
        <v>8371</v>
      </c>
      <c r="H97" s="144">
        <v>11355</v>
      </c>
      <c r="I97" s="144">
        <v>13873</v>
      </c>
      <c r="J97" s="144">
        <v>15997</v>
      </c>
      <c r="K97" s="144">
        <v>17790</v>
      </c>
      <c r="L97" s="144">
        <v>19302</v>
      </c>
      <c r="M97" s="144">
        <v>20577</v>
      </c>
    </row>
  </sheetData>
  <sheetCalcPr fullCalcOnLoad="1"/>
  <mergeCells count="1">
    <mergeCell ref="D1:E1"/>
  </mergeCells>
  <phoneticPr fontId="1" type="noConversion"/>
  <pageMargins left="0.7" right="0.7" top="0.75" bottom="0.75" header="0.3" footer="0.3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"/>
  <sheetViews>
    <sheetView topLeftCell="D7" zoomScale="150" workbookViewId="0">
      <selection activeCell="D1" sqref="D1"/>
    </sheetView>
  </sheetViews>
  <sheetFormatPr baseColWidth="10" defaultColWidth="10.6640625" defaultRowHeight="14"/>
  <cols>
    <col min="1" max="16384" width="10.6640625" style="1"/>
  </cols>
  <sheetData>
    <row r="1" spans="1:1">
      <c r="A1" s="1" t="s">
        <v>50</v>
      </c>
    </row>
  </sheetData>
  <sheetCalcPr fullCalcOnLoad="1"/>
  <phoneticPr fontId="1" type="noConversion"/>
  <pageMargins left="0.75" right="0.75" top="1" bottom="1" header="0.5" footer="0.5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IRR input</vt:lpstr>
      <vt:lpstr>IRR calc</vt:lpstr>
      <vt:lpstr>lending rate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Schmidt-Traub</dc:creator>
  <cp:lastModifiedBy>Patrick Horka</cp:lastModifiedBy>
  <cp:lastPrinted>2009-07-02T14:28:21Z</cp:lastPrinted>
  <dcterms:created xsi:type="dcterms:W3CDTF">2009-07-02T13:52:25Z</dcterms:created>
  <dcterms:modified xsi:type="dcterms:W3CDTF">2011-08-10T17:19:55Z</dcterms:modified>
</cp:coreProperties>
</file>